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924" activeTab="0"/>
  </bookViews>
  <sheets>
    <sheet name="Wstęp" sheetId="1" r:id="rId1"/>
    <sheet name="Arkusz1" sheetId="2" state="hidden" r:id="rId2"/>
    <sheet name="Wpłaty na Radę Rodziców" sheetId="3" r:id="rId3"/>
    <sheet name="Wpłaty na Ksero" sheetId="4" r:id="rId4"/>
    <sheet name="Wpłaty na Basen" sheetId="5" r:id="rId5"/>
    <sheet name="Wpłaty na ubezpieczenie" sheetId="6" r:id="rId6"/>
    <sheet name="Wydatki i inne wpływy" sheetId="7" r:id="rId7"/>
    <sheet name="Wpłaty" sheetId="8" state="hidden" r:id="rId8"/>
    <sheet name="Podsumowanie" sheetId="9" state="hidden" r:id="rId9"/>
    <sheet name="Zestawienie" sheetId="10" state="hidden" r:id="rId10"/>
    <sheet name="Kserowanie" sheetId="11" state="hidden" r:id="rId11"/>
  </sheets>
  <definedNames>
    <definedName name="Z_16AA711E_9506_4C18_8112_D4BFFFA247B4_.wvu.Rows" localSheetId="6">'Wydatki i inne wpływy'!$71:$71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F21" authorId="0">
      <text>
        <r>
          <rPr>
            <sz val="11"/>
            <color indexed="8"/>
            <rFont val="Calibri"/>
            <family val="2"/>
          </rPr>
          <t>480 zł za ub. rok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26" authorId="0">
      <text>
        <r>
          <rPr>
            <sz val="11"/>
            <color indexed="8"/>
            <rFont val="Calibri"/>
            <family val="2"/>
          </rPr>
          <t>420 zł za ub. rok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15" authorId="0">
      <text>
        <r>
          <rPr>
            <sz val="11"/>
            <color indexed="8"/>
            <rFont val="Calibri"/>
            <family val="2"/>
          </rPr>
          <t>Rezygnacja 1 dziecka</t>
        </r>
      </text>
    </comment>
  </commentList>
</comments>
</file>

<file path=xl/sharedStrings.xml><?xml version="1.0" encoding="utf-8"?>
<sst xmlns="http://schemas.openxmlformats.org/spreadsheetml/2006/main" count="673" uniqueCount="330">
  <si>
    <t>Rozliczenie Rady Rodziców, Basenu, 
Ksero, Ubezpieczenia
Wpływy i wydatki za rok 2020/2021</t>
  </si>
  <si>
    <t>Aktualizacja</t>
  </si>
  <si>
    <t>klasy</t>
  </si>
  <si>
    <t>ksero</t>
  </si>
  <si>
    <t>ryza</t>
  </si>
  <si>
    <t>za kopię</t>
  </si>
  <si>
    <t>na klasę</t>
  </si>
  <si>
    <t>wrzesień</t>
  </si>
  <si>
    <t>wpłaty</t>
  </si>
  <si>
    <t>0 - 3</t>
  </si>
  <si>
    <t>reszta</t>
  </si>
  <si>
    <t>Wpłaty RR 2020 – 2021</t>
  </si>
  <si>
    <t xml:space="preserve">Stan na </t>
  </si>
  <si>
    <t>Wychowawcy</t>
  </si>
  <si>
    <t>KLASA</t>
  </si>
  <si>
    <t>LICZBA UCZNIÓW</t>
  </si>
  <si>
    <t>Odpisy nieodebrane w zeszłym roku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</si>
  <si>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</si>
  <si>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</si>
  <si>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</si>
  <si>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</si>
  <si>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</si>
  <si>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</si>
  <si>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</si>
  <si>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</si>
  <si>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</si>
  <si>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</si>
  <si>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Kwota</t>
  </si>
  <si>
    <t>Wpłacono</t>
  </si>
  <si>
    <t>Do zapłaty</t>
  </si>
  <si>
    <t>% wpłat</t>
  </si>
  <si>
    <t>30% odpisy</t>
  </si>
  <si>
    <t>Podpis 30%</t>
  </si>
  <si>
    <t>Mraczek Joanna</t>
  </si>
  <si>
    <t>0A</t>
  </si>
  <si>
    <t>Hawrot Dagmara</t>
  </si>
  <si>
    <t>0B</t>
  </si>
  <si>
    <t>Wensierska Bożena</t>
  </si>
  <si>
    <t>0C</t>
  </si>
  <si>
    <t>Miłoszewska Barbara</t>
  </si>
  <si>
    <t>0D</t>
  </si>
  <si>
    <t>Szyca Urszula</t>
  </si>
  <si>
    <t>0E</t>
  </si>
  <si>
    <t>Błaszczykowska Maria</t>
  </si>
  <si>
    <t>1A</t>
  </si>
  <si>
    <t>Węglerska Maria</t>
  </si>
  <si>
    <t>1B</t>
  </si>
  <si>
    <t>Pagudis Danuta</t>
  </si>
  <si>
    <t>1C</t>
  </si>
  <si>
    <t>Studzińska Iwona</t>
  </si>
  <si>
    <t>1D</t>
  </si>
  <si>
    <t>Gawlik Beata</t>
  </si>
  <si>
    <t>2A</t>
  </si>
  <si>
    <t>Gogola Małgorzata</t>
  </si>
  <si>
    <t>2B</t>
  </si>
  <si>
    <t>Piotrowska Ewa</t>
  </si>
  <si>
    <t>2C</t>
  </si>
  <si>
    <t>Noch Małgorzata</t>
  </si>
  <si>
    <t>3A</t>
  </si>
  <si>
    <t>Koczkowska Maria</t>
  </si>
  <si>
    <t>3B</t>
  </si>
  <si>
    <t>Jezierska Joanna</t>
  </si>
  <si>
    <t>3C</t>
  </si>
  <si>
    <t>Chabrowska Joanna</t>
  </si>
  <si>
    <t>3D</t>
  </si>
  <si>
    <t>Skalska+Hajduk Małgorzata</t>
  </si>
  <si>
    <t>4A</t>
  </si>
  <si>
    <t>Czopowska Wioletta+Sozańska Anna</t>
  </si>
  <si>
    <t>4B</t>
  </si>
  <si>
    <t>Podoski Bartosz</t>
  </si>
  <si>
    <t>4C</t>
  </si>
  <si>
    <t>Włodarska Katarzyna+Reczek Paulina</t>
  </si>
  <si>
    <t>4D</t>
  </si>
  <si>
    <t>Wilamowska Lucyna+Majcher Barbara</t>
  </si>
  <si>
    <t>4E</t>
  </si>
  <si>
    <t>Utrata Ewa</t>
  </si>
  <si>
    <t>5A</t>
  </si>
  <si>
    <t>Czajka Sebastian+Ćwirko-Białas Ormiana</t>
  </si>
  <si>
    <t>5B</t>
  </si>
  <si>
    <t>Moniuszko Ewa</t>
  </si>
  <si>
    <t>5C</t>
  </si>
  <si>
    <t>Dragosz Maciej+Socha</t>
  </si>
  <si>
    <t>6A</t>
  </si>
  <si>
    <t>Grochowska Ilona</t>
  </si>
  <si>
    <t>6B</t>
  </si>
  <si>
    <t>Glaesmann Joanna</t>
  </si>
  <si>
    <t>6C</t>
  </si>
  <si>
    <t>Węglerska Joanna</t>
  </si>
  <si>
    <t>6D</t>
  </si>
  <si>
    <t>Weinar Dorota</t>
  </si>
  <si>
    <t>6E</t>
  </si>
  <si>
    <t>Raczkowska Anna</t>
  </si>
  <si>
    <t>6F</t>
  </si>
  <si>
    <t>Rucka Jolanta</t>
  </si>
  <si>
    <t>6G</t>
  </si>
  <si>
    <t>Szafranek Zbigniew+Bartczak Dorota</t>
  </si>
  <si>
    <t>6H</t>
  </si>
  <si>
    <t>Weber Małgorzata</t>
  </si>
  <si>
    <t>7A</t>
  </si>
  <si>
    <t>Majkowska Anna</t>
  </si>
  <si>
    <t>7B</t>
  </si>
  <si>
    <t>Knopa Małgorzata</t>
  </si>
  <si>
    <t>7C</t>
  </si>
  <si>
    <t>Paczesna Katarzyna+Sobolewska Jolanta</t>
  </si>
  <si>
    <t>7D</t>
  </si>
  <si>
    <t>Grabińska Anna+Fiszer Beata</t>
  </si>
  <si>
    <t>7E</t>
  </si>
  <si>
    <t>Dąbkowska Aleksandra</t>
  </si>
  <si>
    <t>7F</t>
  </si>
  <si>
    <t>Doroszewska-Olender Patrycja</t>
  </si>
  <si>
    <t>7G</t>
  </si>
  <si>
    <t>Linda Katarzyna+Bojankowska-Zając Grażyna</t>
  </si>
  <si>
    <t>8A</t>
  </si>
  <si>
    <t>Witczak Agata</t>
  </si>
  <si>
    <t>8B</t>
  </si>
  <si>
    <t>Bruzi-Tomczak Jolanta+Antczak-Kubiak</t>
  </si>
  <si>
    <t>8C</t>
  </si>
  <si>
    <t>Kałucka-Pikulska Anna</t>
  </si>
  <si>
    <t>8D</t>
  </si>
  <si>
    <t>Kościelak Tomasz+Czatyris Hanna</t>
  </si>
  <si>
    <t>8E</t>
  </si>
  <si>
    <t>Bąk-Goryszewska Monika</t>
  </si>
  <si>
    <t>8F</t>
  </si>
  <si>
    <t>Kowalska Małgorzata</t>
  </si>
  <si>
    <t>8G</t>
  </si>
  <si>
    <t>Suma</t>
  </si>
  <si>
    <t>70% na potrzeby szkoły</t>
  </si>
  <si>
    <t>30% odpisy na klasy</t>
  </si>
  <si>
    <t>Wpłaty Ksero 2020-2021</t>
  </si>
  <si>
    <t>Z zeszłego roku</t>
  </si>
  <si>
    <t xml:space="preserve"> Kwota</t>
  </si>
  <si>
    <t xml:space="preserve"> Wpłacono</t>
  </si>
  <si>
    <t xml:space="preserve">  % wpłat</t>
  </si>
  <si>
    <t>Przedszkole – Piraci</t>
  </si>
  <si>
    <t>gr. 1</t>
  </si>
  <si>
    <t>Przedszkole - Rybki</t>
  </si>
  <si>
    <t>gr. 2</t>
  </si>
  <si>
    <t>Przedszkole – Delfinki</t>
  </si>
  <si>
    <t>gr. 3</t>
  </si>
  <si>
    <t>Przedszkole - Muszelki</t>
  </si>
  <si>
    <t>gr. 4</t>
  </si>
  <si>
    <t>Przedszkole – Rekiny</t>
  </si>
  <si>
    <t>gr. 5</t>
  </si>
  <si>
    <t>Włodarska Katarzyna+Reczek</t>
  </si>
  <si>
    <t xml:space="preserve">Kwota </t>
  </si>
  <si>
    <t xml:space="preserve">  % włat</t>
  </si>
  <si>
    <t>z raportów</t>
  </si>
  <si>
    <t>z konta</t>
  </si>
  <si>
    <t>razem</t>
  </si>
  <si>
    <t>Basen 2020-2021</t>
  </si>
  <si>
    <t>zł</t>
  </si>
  <si>
    <t>Miesieczna opłata za półrocze</t>
  </si>
  <si>
    <t>Uczęszcza</t>
  </si>
  <si>
    <t>Zadłużenie z zeszłęgo roku</t>
  </si>
  <si>
    <t>wpłaty za basen w 2020/2021</t>
  </si>
  <si>
    <t>5D</t>
  </si>
  <si>
    <t>5E</t>
  </si>
  <si>
    <t>5F</t>
  </si>
  <si>
    <t>5G</t>
  </si>
  <si>
    <t>5H</t>
  </si>
  <si>
    <t>Wpłaty</t>
  </si>
  <si>
    <t>Wpłaty na ubezpieczenie 2020 – 2021</t>
  </si>
  <si>
    <t>Liczba uczniów w klasie</t>
  </si>
  <si>
    <t>Liczba uczniów, którzy przystąpili do ubezpieczenia</t>
  </si>
  <si>
    <t>Wydatki  potrzeby szkoły 70%</t>
  </si>
  <si>
    <t>Szafki wydatki</t>
  </si>
  <si>
    <t>Wydatki basen</t>
  </si>
  <si>
    <t>Wydatki Ksero</t>
  </si>
  <si>
    <t>Odpisy na klasy 30%</t>
  </si>
  <si>
    <t>Inne wpływy</t>
  </si>
  <si>
    <t>Wpływy RR</t>
  </si>
  <si>
    <t>Wpływy z przeniesieniem</t>
  </si>
  <si>
    <t>Odpisy na klasy</t>
  </si>
  <si>
    <t>Razem</t>
  </si>
  <si>
    <t>Wydano</t>
  </si>
  <si>
    <t>Zostało</t>
  </si>
  <si>
    <t>Zostało na następny rok</t>
  </si>
  <si>
    <t>prowadzenie konta dn. 2020-09-05</t>
  </si>
  <si>
    <t>wkładki do szafek</t>
  </si>
  <si>
    <t>Papier – faktura 3823/09/2020</t>
  </si>
  <si>
    <t>darowizna na rzecz szkoły na zakup kamer internetowych (30 sztuk)</t>
  </si>
  <si>
    <t>Najem – faktura 25/9/2020</t>
  </si>
  <si>
    <t>DEN – kawa/herbata dla nauczycieli, administarcji, kuchni i obsługi</t>
  </si>
  <si>
    <t>Najem – faktura 5/10/2020</t>
  </si>
  <si>
    <t>zakup wieszaków i stojaków na wieszaki</t>
  </si>
  <si>
    <t>Najem – faktura 15/11/2020</t>
  </si>
  <si>
    <t>prowadzenie konta dn. 2020-10-05</t>
  </si>
  <si>
    <t>Zszywki – faktura 120/11/2020</t>
  </si>
  <si>
    <t>zakup tarcz szkolnych na pasowanie 1-klasistów</t>
  </si>
  <si>
    <t>Najem – faktura 24/12/2020</t>
  </si>
  <si>
    <t>zakup 5 kamer internetowych</t>
  </si>
  <si>
    <t>Najem – faktura 13/1/2021</t>
  </si>
  <si>
    <t>wypłata gotówki z konta dn. 2020-20-22 – 10 000,00 zł</t>
  </si>
  <si>
    <t>Tusze – faktura F00265/25/21</t>
  </si>
  <si>
    <t>prowadzenie konta dn. 2020-11-05</t>
  </si>
  <si>
    <t>Papier – faktura 5331/12/2020</t>
  </si>
  <si>
    <t>prowadzenie konta dn. 2020-12-05</t>
  </si>
  <si>
    <t>Najem – faktura 34/2/2021</t>
  </si>
  <si>
    <t>fototapeta na ścianę w holu szkoły (strefa ciszy) – faktura 9/12/2020</t>
  </si>
  <si>
    <t>dofinansowanie zimowiska 2021 (klasy 0-4)</t>
  </si>
  <si>
    <t>prowadzenie konta dn. 2021-01-05</t>
  </si>
  <si>
    <t>dofinansowanie nagród na konkurs klas 0-3</t>
  </si>
  <si>
    <t>testy próbne dla klas 8</t>
  </si>
  <si>
    <t>leżaki do strefy relaksu – faktura ZAM/000165</t>
  </si>
  <si>
    <t>lampy do strefy relaksu – faktura FPROF/14/2021/CENTR</t>
  </si>
  <si>
    <t>prowadzenie konta dn. 2021-02-05</t>
  </si>
  <si>
    <t>Szafki wpłaty</t>
  </si>
  <si>
    <t>Ubezpieczenie</t>
  </si>
  <si>
    <t>trawy do strefy relaksu – faktura do zam. nr 02062-02-21-ZO-E</t>
  </si>
  <si>
    <t>Wpływy</t>
  </si>
  <si>
    <t>4D (gotówka)</t>
  </si>
  <si>
    <t>na ubezpieczenie</t>
  </si>
  <si>
    <t>4c (gotówka)</t>
  </si>
  <si>
    <t>zimowisko dla 1 ucznia</t>
  </si>
  <si>
    <t>4e</t>
  </si>
  <si>
    <t>7e</t>
  </si>
  <si>
    <t>7d</t>
  </si>
  <si>
    <t>6h</t>
  </si>
  <si>
    <t>Wszystkie wpływy za 2020/2021</t>
  </si>
  <si>
    <t>Z 2019/2020 roku</t>
  </si>
  <si>
    <t>Konto</t>
  </si>
  <si>
    <t>Kasa</t>
  </si>
  <si>
    <t xml:space="preserve">Wszystkie wydatki </t>
  </si>
  <si>
    <t xml:space="preserve">Zostaje w tym roku </t>
  </si>
  <si>
    <t>Po uwzględnieniu salda z 2019/2020 roku</t>
  </si>
  <si>
    <t>Po uwzględnieniu odpisów 30% i  nagród na zakończenie roku</t>
  </si>
  <si>
    <t>Różnica 2019/2020 a 2020/2021</t>
  </si>
  <si>
    <t>RR</t>
  </si>
  <si>
    <t>Ksero</t>
  </si>
  <si>
    <t>wpływy</t>
  </si>
  <si>
    <t>%</t>
  </si>
  <si>
    <t>klasy 0-3</t>
  </si>
  <si>
    <t>klasy 4-8</t>
  </si>
  <si>
    <t>gimnazjum</t>
  </si>
  <si>
    <t>potrzeby szkoły 70%</t>
  </si>
  <si>
    <t>zebrane</t>
  </si>
  <si>
    <t>całość</t>
  </si>
  <si>
    <t>potrzeby szkoły</t>
  </si>
  <si>
    <t>4 - 8</t>
  </si>
  <si>
    <t>Rok szkolny 2018/2019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</si>
  <si>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</si>
  <si>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</si>
  <si>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</si>
  <si>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</si>
  <si>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</si>
  <si>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</si>
  <si>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</si>
  <si>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</si>
  <si>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</si>
  <si>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</si>
  <si>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</si>
  <si>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P</t>
  </si>
  <si>
    <t>W</t>
  </si>
  <si>
    <t>Konto (bez wpłat z kasy)</t>
  </si>
  <si>
    <t>Łącznie</t>
  </si>
  <si>
    <t>Sprawozdanie finansowe Rady Rodziców  przy Szkole Podstawowej nr 47 w Gdyni</t>
  </si>
  <si>
    <t>Rok szkolny 2017/2018</t>
  </si>
  <si>
    <t>Przychody</t>
  </si>
  <si>
    <t>Składka RR</t>
  </si>
  <si>
    <t>Wpływy basen</t>
  </si>
  <si>
    <t>Wpływy ksero</t>
  </si>
  <si>
    <t>Szafki</t>
  </si>
  <si>
    <t>Saldo z zeszłego roku</t>
  </si>
  <si>
    <t>Wydatki</t>
  </si>
  <si>
    <t>Wydatki na ksero</t>
  </si>
  <si>
    <t>Dowóz na basen</t>
  </si>
  <si>
    <t>Wydatki szkolne</t>
  </si>
  <si>
    <t>Potrzeby szkoły (70%) + szafki</t>
  </si>
  <si>
    <t>Odpisy na potrzeby klasy (30%)</t>
  </si>
  <si>
    <t>Saldo</t>
  </si>
  <si>
    <t>Wykorzystanie Ksera</t>
  </si>
  <si>
    <t>12 - 30 maj</t>
  </si>
  <si>
    <t>Nazwisko nauczyciela</t>
  </si>
  <si>
    <t>Ilość kopii</t>
  </si>
  <si>
    <t>Kartek na dzień</t>
  </si>
  <si>
    <t>Żelazna</t>
  </si>
  <si>
    <t>Paczesna Katarzyna</t>
  </si>
  <si>
    <t>Tubaja</t>
  </si>
  <si>
    <t>Kosmol Beata</t>
  </si>
  <si>
    <t>Ciura Anna</t>
  </si>
  <si>
    <t>Szczygielska Marzenna</t>
  </si>
  <si>
    <t>Rokicka Jolanta</t>
  </si>
  <si>
    <t>Kowalska</t>
  </si>
  <si>
    <t>Pazio</t>
  </si>
  <si>
    <t>Madziąg</t>
  </si>
  <si>
    <t>Knopa</t>
  </si>
  <si>
    <t>Bruzi-Tomczak Jolanta</t>
  </si>
  <si>
    <t>Jasinowska Violetta</t>
  </si>
  <si>
    <t>Marcinkowska</t>
  </si>
  <si>
    <t>Latowska</t>
  </si>
  <si>
    <t>Hajduk Małgorzata</t>
  </si>
  <si>
    <t>Linda Katarzyna</t>
  </si>
  <si>
    <t>Świetlica</t>
  </si>
  <si>
    <t>Wagner Maria</t>
  </si>
  <si>
    <t>Ćwirko Białas Ormiana</t>
  </si>
  <si>
    <t>Duszyńska Joanna</t>
  </si>
  <si>
    <t>Bojankowska Grażyna</t>
  </si>
  <si>
    <t>Cupiał Elżbieta</t>
  </si>
  <si>
    <t>Słojewska</t>
  </si>
  <si>
    <t>Wrzyszcz Wiesława</t>
  </si>
  <si>
    <t>Bąk-Goryszewska</t>
  </si>
  <si>
    <t>Fiszer Beata</t>
  </si>
  <si>
    <t>Czatyris Hanna</t>
  </si>
  <si>
    <t>Ściepuro</t>
  </si>
  <si>
    <t>Karcz Joanna</t>
  </si>
  <si>
    <t>Pranszke Stefania</t>
  </si>
  <si>
    <t>Jackiewicz</t>
  </si>
  <si>
    <t>Drelicharz Jolanta</t>
  </si>
  <si>
    <t>Pagudis</t>
  </si>
  <si>
    <t>Płotka</t>
  </si>
  <si>
    <t>Naleźny</t>
  </si>
  <si>
    <t>Ambroziewicz</t>
  </si>
  <si>
    <t>Biblioteka</t>
  </si>
  <si>
    <t>Buczkowska</t>
  </si>
  <si>
    <t>Pniewska Katarzyna</t>
  </si>
  <si>
    <t>Kubiak</t>
  </si>
  <si>
    <t>Sobolewska Jolanta</t>
  </si>
  <si>
    <t>Sozańska Anna</t>
  </si>
  <si>
    <t>Neubauer Anna</t>
  </si>
  <si>
    <t>Krysiak</t>
  </si>
  <si>
    <t>Sikora</t>
  </si>
  <si>
    <t>Raczkowska</t>
  </si>
  <si>
    <t>Jaskulska</t>
  </si>
  <si>
    <t>Pawłowska</t>
  </si>
  <si>
    <t>Ludwichowski Paweł</t>
  </si>
  <si>
    <t>Zawadzka Jolanta</t>
  </si>
  <si>
    <t>Wyszyńska</t>
  </si>
  <si>
    <t>Szyca</t>
  </si>
  <si>
    <t>Przedszkole</t>
  </si>
  <si>
    <t>Majkowska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</si>
</sst>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_-* #,##0.00\ _z_ł_-;\-* #,##0.00\ _z_ł_-;_-* \-??\ _z_ł_-;_-@_-"/>
    <numFmt numFmtId="167" formatCode="#\ ??/??"/>
    <numFmt numFmtId="168" formatCode="_-* #,##0.00&quot; zł&quot;_-;\-* #,##0.00&quot; zł&quot;_-;_-* \-??&quot; zł&quot;_-;_-@_-"/>
    <numFmt numFmtId="169" formatCode="_-* #,##0\ _z_ł_-;\-* #,##0\ _z_ł_-;_-* \-??\ _z_ł_-;_-@_-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36"/>
      <color indexed="8"/>
      <name val="Candara"/>
      <family val="2"/>
    </font>
    <font>
      <sz val="48"/>
      <color indexed="8"/>
      <name val="Candara"/>
      <family val="2"/>
    </font>
    <font>
      <sz val="11"/>
      <color indexed="8"/>
      <name val="Candara"/>
      <family val="2"/>
    </font>
    <font>
      <sz val="40"/>
      <color indexed="18"/>
      <name val="Tempus Sans ITC"/>
      <family val="5"/>
    </font>
    <font>
      <sz val="48"/>
      <color indexed="18"/>
      <name val="Tempus Sans ITC"/>
      <family val="5"/>
    </font>
    <font>
      <sz val="11"/>
      <color indexed="18"/>
      <name val="Candara"/>
      <family val="2"/>
    </font>
    <font>
      <sz val="12"/>
      <color indexed="18"/>
      <name val="Candara"/>
      <family val="2"/>
    </font>
    <font>
      <b/>
      <sz val="11"/>
      <color indexed="18"/>
      <name val="Candara"/>
      <family val="2"/>
    </font>
    <font>
      <sz val="11"/>
      <color indexed="18"/>
      <name val="Calibri"/>
      <family val="2"/>
    </font>
    <font>
      <b/>
      <u val="single"/>
      <sz val="11"/>
      <color indexed="18"/>
      <name val="Candara"/>
      <family val="2"/>
    </font>
    <font>
      <sz val="11"/>
      <color indexed="56"/>
      <name val="Calibri"/>
      <family val="2"/>
    </font>
    <font>
      <sz val="11"/>
      <color indexed="56"/>
      <name val="Candara"/>
      <family val="2"/>
    </font>
    <font>
      <sz val="40"/>
      <color indexed="56"/>
      <name val="Tempus Sans ITC"/>
      <family val="5"/>
    </font>
    <font>
      <sz val="12"/>
      <color indexed="56"/>
      <name val="Candara"/>
      <family val="2"/>
    </font>
    <font>
      <b/>
      <sz val="11"/>
      <color indexed="56"/>
      <name val="Candara"/>
      <family val="2"/>
    </font>
    <font>
      <b/>
      <u val="single"/>
      <sz val="11"/>
      <color indexed="56"/>
      <name val="Candara"/>
      <family val="2"/>
    </font>
    <font>
      <sz val="36"/>
      <color indexed="8"/>
      <name val="Tempus Sans ITC"/>
      <family val="5"/>
    </font>
    <font>
      <sz val="40"/>
      <color indexed="8"/>
      <name val="Tempus Sans ITC"/>
      <family val="5"/>
    </font>
    <font>
      <sz val="48"/>
      <color indexed="8"/>
      <name val="Tempus Sans ITC"/>
      <family val="5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ndara"/>
      <family val="2"/>
    </font>
    <font>
      <b/>
      <sz val="11"/>
      <color indexed="8"/>
      <name val="Candara"/>
      <family val="2"/>
    </font>
    <font>
      <b/>
      <u val="single"/>
      <sz val="11"/>
      <color indexed="8"/>
      <name val="Candara"/>
      <family val="2"/>
    </font>
    <font>
      <sz val="36"/>
      <color indexed="18"/>
      <name val="Tempus Sans ITC"/>
      <family val="5"/>
    </font>
    <font>
      <sz val="18"/>
      <color indexed="8"/>
      <name val="Candara"/>
      <family val="2"/>
    </font>
    <font>
      <sz val="10"/>
      <color indexed="8"/>
      <name val="Candara"/>
      <family val="2"/>
    </font>
    <font>
      <sz val="14"/>
      <color indexed="8"/>
      <name val="Candara"/>
      <family val="2"/>
    </font>
    <font>
      <sz val="10"/>
      <color indexed="9"/>
      <name val="Candara"/>
      <family val="2"/>
    </font>
    <font>
      <sz val="11"/>
      <name val="Candara"/>
      <family val="2"/>
    </font>
    <font>
      <sz val="16"/>
      <color indexed="8"/>
      <name val="Calibri"/>
      <family val="2"/>
    </font>
    <font>
      <sz val="16"/>
      <color indexed="8"/>
      <name val="Candara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andara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9" fontId="1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textRotation="90"/>
    </xf>
    <xf numFmtId="0" fontId="7" fillId="35" borderId="13" xfId="0" applyFont="1" applyFill="1" applyBorder="1" applyAlignment="1">
      <alignment horizontal="center" textRotation="90"/>
    </xf>
    <xf numFmtId="0" fontId="7" fillId="35" borderId="13" xfId="0" applyFont="1" applyFill="1" applyBorder="1" applyAlignment="1">
      <alignment horizontal="center" vertical="center" textRotation="90" wrapText="1"/>
    </xf>
    <xf numFmtId="0" fontId="7" fillId="36" borderId="13" xfId="0" applyFont="1" applyFill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37" borderId="13" xfId="0" applyFont="1" applyFill="1" applyBorder="1" applyAlignment="1">
      <alignment horizontal="center" textRotation="90"/>
    </xf>
    <xf numFmtId="0" fontId="7" fillId="38" borderId="13" xfId="0" applyFont="1" applyFill="1" applyBorder="1" applyAlignment="1">
      <alignment horizontal="center" textRotation="90"/>
    </xf>
    <xf numFmtId="0" fontId="7" fillId="39" borderId="13" xfId="0" applyFont="1" applyFill="1" applyBorder="1" applyAlignment="1">
      <alignment horizont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8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1" fontId="7" fillId="38" borderId="13" xfId="0" applyNumberFormat="1" applyFont="1" applyFill="1" applyBorder="1" applyAlignment="1">
      <alignment horizontal="center" vertical="center"/>
    </xf>
    <xf numFmtId="1" fontId="7" fillId="39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9" fillId="35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" fontId="4" fillId="33" borderId="15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3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textRotation="90"/>
    </xf>
    <xf numFmtId="0" fontId="13" fillId="35" borderId="17" xfId="0" applyFont="1" applyFill="1" applyBorder="1" applyAlignment="1">
      <alignment horizontal="center" textRotation="90"/>
    </xf>
    <xf numFmtId="0" fontId="13" fillId="36" borderId="17" xfId="0" applyFont="1" applyFill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13" fillId="37" borderId="17" xfId="0" applyFont="1" applyFill="1" applyBorder="1" applyAlignment="1">
      <alignment horizontal="center" textRotation="90"/>
    </xf>
    <xf numFmtId="0" fontId="13" fillId="38" borderId="18" xfId="0" applyFont="1" applyFill="1" applyBorder="1" applyAlignment="1">
      <alignment horizontal="center" textRotation="90"/>
    </xf>
    <xf numFmtId="0" fontId="8" fillId="34" borderId="17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37" borderId="17" xfId="0" applyFont="1" applyFill="1" applyBorder="1" applyAlignment="1">
      <alignment horizontal="center" vertical="center"/>
    </xf>
    <xf numFmtId="1" fontId="13" fillId="38" borderId="18" xfId="0" applyNumberFormat="1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40" borderId="17" xfId="0" applyFont="1" applyFill="1" applyBorder="1" applyAlignment="1">
      <alignment horizontal="center"/>
    </xf>
    <xf numFmtId="1" fontId="9" fillId="35" borderId="17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4" fillId="41" borderId="19" xfId="0" applyFont="1" applyFill="1" applyBorder="1" applyAlignment="1">
      <alignment vertical="center"/>
    </xf>
    <xf numFmtId="0" fontId="4" fillId="41" borderId="20" xfId="0" applyFont="1" applyFill="1" applyBorder="1" applyAlignment="1">
      <alignment vertical="center"/>
    </xf>
    <xf numFmtId="0" fontId="4" fillId="41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textRotation="90"/>
    </xf>
    <xf numFmtId="0" fontId="4" fillId="35" borderId="22" xfId="0" applyFont="1" applyFill="1" applyBorder="1" applyAlignment="1">
      <alignment horizontal="center" textRotation="90"/>
    </xf>
    <xf numFmtId="0" fontId="4" fillId="35" borderId="22" xfId="0" applyFont="1" applyFill="1" applyBorder="1" applyAlignment="1">
      <alignment horizontal="center" vertical="center" textRotation="90"/>
    </xf>
    <xf numFmtId="0" fontId="4" fillId="36" borderId="22" xfId="0" applyFont="1" applyFill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37" borderId="17" xfId="0" applyFont="1" applyFill="1" applyBorder="1" applyAlignment="1">
      <alignment horizontal="center" textRotation="90"/>
    </xf>
    <xf numFmtId="0" fontId="4" fillId="38" borderId="17" xfId="0" applyFont="1" applyFill="1" applyBorder="1" applyAlignment="1">
      <alignment horizontal="center" textRotation="90"/>
    </xf>
    <xf numFmtId="0" fontId="8" fillId="34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/>
    </xf>
    <xf numFmtId="0" fontId="21" fillId="36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1" fontId="9" fillId="35" borderId="2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1" fontId="25" fillId="38" borderId="17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textRotation="90"/>
    </xf>
    <xf numFmtId="0" fontId="4" fillId="34" borderId="13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37" borderId="28" xfId="0" applyFont="1" applyFill="1" applyBorder="1" applyAlignment="1">
      <alignment horizontal="center" vertical="center"/>
    </xf>
    <xf numFmtId="1" fontId="7" fillId="38" borderId="29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1" fontId="7" fillId="38" borderId="32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13" fillId="36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37" borderId="34" xfId="0" applyFont="1" applyFill="1" applyBorder="1" applyAlignment="1">
      <alignment horizontal="center" vertical="center"/>
    </xf>
    <xf numFmtId="1" fontId="7" fillId="38" borderId="35" xfId="0" applyNumberFormat="1" applyFont="1" applyFill="1" applyBorder="1" applyAlignment="1">
      <alignment horizontal="center" vertical="center"/>
    </xf>
    <xf numFmtId="166" fontId="4" fillId="0" borderId="0" xfId="42" applyFont="1" applyFill="1" applyBorder="1" applyAlignment="1" applyProtection="1">
      <alignment/>
      <protection/>
    </xf>
    <xf numFmtId="166" fontId="4" fillId="0" borderId="0" xfId="42" applyFont="1" applyFill="1" applyBorder="1" applyAlignment="1" applyProtection="1">
      <alignment horizontal="right" vertical="center"/>
      <protection/>
    </xf>
    <xf numFmtId="166" fontId="4" fillId="0" borderId="0" xfId="42" applyFont="1" applyFill="1" applyBorder="1" applyAlignment="1" applyProtection="1">
      <alignment horizontal="left" vertical="center"/>
      <protection/>
    </xf>
    <xf numFmtId="166" fontId="4" fillId="0" borderId="0" xfId="42" applyFont="1" applyFill="1" applyBorder="1" applyAlignment="1" applyProtection="1">
      <alignment horizontal="right"/>
      <protection/>
    </xf>
    <xf numFmtId="166" fontId="4" fillId="0" borderId="0" xfId="42" applyFont="1" applyFill="1" applyBorder="1" applyAlignment="1" applyProtection="1">
      <alignment horizontal="center"/>
      <protection/>
    </xf>
    <xf numFmtId="166" fontId="4" fillId="33" borderId="36" xfId="42" applyFont="1" applyFill="1" applyBorder="1" applyAlignment="1" applyProtection="1">
      <alignment horizontal="center" vertical="center"/>
      <protection/>
    </xf>
    <xf numFmtId="4" fontId="0" fillId="33" borderId="14" xfId="42" applyNumberFormat="1" applyFont="1" applyFill="1" applyBorder="1" applyAlignment="1" applyProtection="1">
      <alignment horizontal="right" vertical="center"/>
      <protection/>
    </xf>
    <xf numFmtId="4" fontId="0" fillId="42" borderId="14" xfId="42" applyNumberFormat="1" applyFont="1" applyFill="1" applyBorder="1" applyAlignment="1" applyProtection="1">
      <alignment vertical="center"/>
      <protection/>
    </xf>
    <xf numFmtId="166" fontId="4" fillId="37" borderId="14" xfId="42" applyFont="1" applyFill="1" applyBorder="1" applyAlignment="1" applyProtection="1">
      <alignment horizontal="center" vertical="center"/>
      <protection/>
    </xf>
    <xf numFmtId="4" fontId="0" fillId="37" borderId="14" xfId="42" applyNumberFormat="1" applyFont="1" applyFill="1" applyBorder="1" applyAlignment="1" applyProtection="1">
      <alignment horizontal="right" vertical="center"/>
      <protection/>
    </xf>
    <xf numFmtId="166" fontId="4" fillId="43" borderId="14" xfId="42" applyFont="1" applyFill="1" applyBorder="1" applyAlignment="1" applyProtection="1">
      <alignment horizontal="center" vertical="center"/>
      <protection/>
    </xf>
    <xf numFmtId="4" fontId="0" fillId="43" borderId="14" xfId="42" applyNumberFormat="1" applyFont="1" applyFill="1" applyBorder="1" applyAlignment="1" applyProtection="1">
      <alignment horizontal="right" vertical="center"/>
      <protection/>
    </xf>
    <xf numFmtId="166" fontId="0" fillId="41" borderId="14" xfId="42" applyFont="1" applyFill="1" applyBorder="1" applyAlignment="1" applyProtection="1">
      <alignment horizontal="center" vertical="center"/>
      <protection/>
    </xf>
    <xf numFmtId="3" fontId="0" fillId="41" borderId="14" xfId="42" applyNumberFormat="1" applyFont="1" applyFill="1" applyBorder="1" applyAlignment="1" applyProtection="1">
      <alignment horizontal="right" vertical="center"/>
      <protection/>
    </xf>
    <xf numFmtId="166" fontId="4" fillId="44" borderId="14" xfId="42" applyFont="1" applyFill="1" applyBorder="1" applyAlignment="1" applyProtection="1">
      <alignment horizontal="center" vertical="center"/>
      <protection/>
    </xf>
    <xf numFmtId="4" fontId="0" fillId="44" borderId="10" xfId="42" applyNumberFormat="1" applyFont="1" applyFill="1" applyBorder="1" applyAlignment="1" applyProtection="1">
      <alignment vertical="center"/>
      <protection/>
    </xf>
    <xf numFmtId="166" fontId="4" fillId="33" borderId="37" xfId="42" applyFont="1" applyFill="1" applyBorder="1" applyAlignment="1" applyProtection="1">
      <alignment horizontal="center" vertical="center"/>
      <protection/>
    </xf>
    <xf numFmtId="4" fontId="0" fillId="33" borderId="0" xfId="42" applyNumberFormat="1" applyFont="1" applyFill="1" applyBorder="1" applyAlignment="1" applyProtection="1">
      <alignment horizontal="right" vertical="center"/>
      <protection/>
    </xf>
    <xf numFmtId="4" fontId="0" fillId="42" borderId="0" xfId="42" applyNumberFormat="1" applyFont="1" applyFill="1" applyBorder="1" applyAlignment="1" applyProtection="1">
      <alignment horizontal="center" vertical="center"/>
      <protection/>
    </xf>
    <xf numFmtId="4" fontId="0" fillId="42" borderId="0" xfId="42" applyNumberFormat="1" applyFont="1" applyFill="1" applyBorder="1" applyAlignment="1" applyProtection="1">
      <alignment vertical="center"/>
      <protection/>
    </xf>
    <xf numFmtId="166" fontId="4" fillId="37" borderId="0" xfId="42" applyFont="1" applyFill="1" applyBorder="1" applyAlignment="1" applyProtection="1">
      <alignment horizontal="center" vertical="center"/>
      <protection/>
    </xf>
    <xf numFmtId="4" fontId="0" fillId="37" borderId="0" xfId="42" applyNumberFormat="1" applyFont="1" applyFill="1" applyBorder="1" applyAlignment="1" applyProtection="1">
      <alignment horizontal="right" vertical="center"/>
      <protection/>
    </xf>
    <xf numFmtId="166" fontId="4" fillId="43" borderId="0" xfId="42" applyFont="1" applyFill="1" applyBorder="1" applyAlignment="1" applyProtection="1">
      <alignment horizontal="center" vertical="center"/>
      <protection/>
    </xf>
    <xf numFmtId="4" fontId="0" fillId="43" borderId="0" xfId="42" applyNumberFormat="1" applyFont="1" applyFill="1" applyBorder="1" applyAlignment="1" applyProtection="1">
      <alignment horizontal="right" vertical="center"/>
      <protection/>
    </xf>
    <xf numFmtId="166" fontId="0" fillId="41" borderId="0" xfId="42" applyFont="1" applyFill="1" applyBorder="1" applyAlignment="1" applyProtection="1">
      <alignment horizontal="center" vertical="center"/>
      <protection/>
    </xf>
    <xf numFmtId="3" fontId="0" fillId="41" borderId="0" xfId="42" applyNumberFormat="1" applyFont="1" applyFill="1" applyBorder="1" applyAlignment="1" applyProtection="1">
      <alignment horizontal="right" vertical="center"/>
      <protection/>
    </xf>
    <xf numFmtId="166" fontId="4" fillId="44" borderId="0" xfId="42" applyFont="1" applyFill="1" applyBorder="1" applyAlignment="1" applyProtection="1">
      <alignment horizontal="center" vertical="center"/>
      <protection/>
    </xf>
    <xf numFmtId="4" fontId="0" fillId="44" borderId="11" xfId="42" applyNumberFormat="1" applyFont="1" applyFill="1" applyBorder="1" applyAlignment="1" applyProtection="1">
      <alignment vertical="center"/>
      <protection/>
    </xf>
    <xf numFmtId="166" fontId="4" fillId="33" borderId="38" xfId="42" applyFont="1" applyFill="1" applyBorder="1" applyAlignment="1" applyProtection="1">
      <alignment horizontal="center" vertical="center"/>
      <protection/>
    </xf>
    <xf numFmtId="4" fontId="0" fillId="33" borderId="15" xfId="42" applyNumberFormat="1" applyFont="1" applyFill="1" applyBorder="1" applyAlignment="1" applyProtection="1">
      <alignment horizontal="right" vertical="center"/>
      <protection/>
    </xf>
    <xf numFmtId="4" fontId="0" fillId="42" borderId="15" xfId="42" applyNumberFormat="1" applyFont="1" applyFill="1" applyBorder="1" applyAlignment="1" applyProtection="1">
      <alignment vertical="center"/>
      <protection/>
    </xf>
    <xf numFmtId="166" fontId="4" fillId="37" borderId="15" xfId="42" applyFont="1" applyFill="1" applyBorder="1" applyAlignment="1" applyProtection="1">
      <alignment horizontal="center" vertical="center"/>
      <protection/>
    </xf>
    <xf numFmtId="4" fontId="0" fillId="37" borderId="15" xfId="42" applyNumberFormat="1" applyFont="1" applyFill="1" applyBorder="1" applyAlignment="1" applyProtection="1">
      <alignment horizontal="right" vertical="center"/>
      <protection/>
    </xf>
    <xf numFmtId="166" fontId="4" fillId="43" borderId="15" xfId="42" applyFont="1" applyFill="1" applyBorder="1" applyAlignment="1" applyProtection="1">
      <alignment horizontal="center" vertical="center" wrapText="1"/>
      <protection/>
    </xf>
    <xf numFmtId="4" fontId="0" fillId="43" borderId="15" xfId="42" applyNumberFormat="1" applyFont="1" applyFill="1" applyBorder="1" applyAlignment="1" applyProtection="1">
      <alignment horizontal="right" vertical="center"/>
      <protection/>
    </xf>
    <xf numFmtId="166" fontId="0" fillId="41" borderId="15" xfId="42" applyFont="1" applyFill="1" applyBorder="1" applyAlignment="1" applyProtection="1">
      <alignment horizontal="center" vertical="center" wrapText="1"/>
      <protection/>
    </xf>
    <xf numFmtId="3" fontId="0" fillId="41" borderId="39" xfId="42" applyNumberFormat="1" applyFont="1" applyFill="1" applyBorder="1" applyAlignment="1" applyProtection="1">
      <alignment horizontal="right" vertical="center"/>
      <protection/>
    </xf>
    <xf numFmtId="166" fontId="4" fillId="44" borderId="15" xfId="42" applyFont="1" applyFill="1" applyBorder="1" applyAlignment="1" applyProtection="1">
      <alignment horizontal="center" vertical="center"/>
      <protection/>
    </xf>
    <xf numFmtId="167" fontId="4" fillId="36" borderId="37" xfId="42" applyNumberFormat="1" applyFont="1" applyFill="1" applyBorder="1" applyAlignment="1" applyProtection="1">
      <alignment horizontal="left" vertical="center" wrapText="1" indent="1"/>
      <protection/>
    </xf>
    <xf numFmtId="4" fontId="0" fillId="36" borderId="0" xfId="42" applyNumberFormat="1" applyFont="1" applyFill="1" applyBorder="1" applyAlignment="1" applyProtection="1">
      <alignment horizontal="right" vertical="center"/>
      <protection/>
    </xf>
    <xf numFmtId="166" fontId="4" fillId="38" borderId="0" xfId="42" applyFont="1" applyFill="1" applyBorder="1" applyAlignment="1" applyProtection="1">
      <alignment horizontal="center" vertical="center"/>
      <protection/>
    </xf>
    <xf numFmtId="4" fontId="0" fillId="38" borderId="0" xfId="42" applyNumberFormat="1" applyFont="1" applyFill="1" applyBorder="1" applyAlignment="1" applyProtection="1">
      <alignment horizontal="right" vertical="center"/>
      <protection/>
    </xf>
    <xf numFmtId="166" fontId="4" fillId="45" borderId="0" xfId="42" applyFont="1" applyFill="1" applyBorder="1" applyAlignment="1" applyProtection="1">
      <alignment horizontal="left" vertical="center" wrapText="1" indent="1"/>
      <protection/>
    </xf>
    <xf numFmtId="4" fontId="0" fillId="45" borderId="0" xfId="42" applyNumberFormat="1" applyFont="1" applyFill="1" applyBorder="1" applyAlignment="1" applyProtection="1">
      <alignment horizontal="right" vertical="center"/>
      <protection/>
    </xf>
    <xf numFmtId="9" fontId="0" fillId="41" borderId="0" xfId="42" applyNumberFormat="1" applyFont="1" applyFill="1" applyBorder="1" applyAlignment="1" applyProtection="1">
      <alignment horizontal="center" vertical="center"/>
      <protection/>
    </xf>
    <xf numFmtId="166" fontId="28" fillId="46" borderId="0" xfId="42" applyFont="1" applyFill="1" applyBorder="1" applyAlignment="1" applyProtection="1">
      <alignment horizontal="center"/>
      <protection/>
    </xf>
    <xf numFmtId="4" fontId="4" fillId="46" borderId="10" xfId="42" applyNumberFormat="1" applyFont="1" applyFill="1" applyBorder="1" applyAlignment="1" applyProtection="1">
      <alignment/>
      <protection/>
    </xf>
    <xf numFmtId="4" fontId="0" fillId="41" borderId="0" xfId="42" applyNumberFormat="1" applyFont="1" applyFill="1" applyBorder="1" applyAlignment="1" applyProtection="1">
      <alignment horizontal="right" vertical="center"/>
      <protection/>
    </xf>
    <xf numFmtId="166" fontId="4" fillId="46" borderId="0" xfId="42" applyFont="1" applyFill="1" applyBorder="1" applyAlignment="1" applyProtection="1">
      <alignment horizontal="center"/>
      <protection/>
    </xf>
    <xf numFmtId="4" fontId="4" fillId="46" borderId="11" xfId="42" applyNumberFormat="1" applyFont="1" applyFill="1" applyBorder="1" applyAlignment="1" applyProtection="1">
      <alignment/>
      <protection/>
    </xf>
    <xf numFmtId="164" fontId="4" fillId="38" borderId="0" xfId="42" applyNumberFormat="1" applyFont="1" applyFill="1" applyBorder="1" applyAlignment="1" applyProtection="1">
      <alignment horizontal="center" vertical="center"/>
      <protection/>
    </xf>
    <xf numFmtId="166" fontId="4" fillId="46" borderId="0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66" fontId="4" fillId="45" borderId="0" xfId="42" applyFont="1" applyFill="1" applyBorder="1" applyAlignment="1" applyProtection="1">
      <alignment horizontal="left" indent="1"/>
      <protection/>
    </xf>
    <xf numFmtId="4" fontId="4" fillId="45" borderId="0" xfId="42" applyNumberFormat="1" applyFont="1" applyFill="1" applyBorder="1" applyAlignment="1" applyProtection="1">
      <alignment horizontal="right" vertical="center" wrapText="1"/>
      <protection/>
    </xf>
    <xf numFmtId="4" fontId="4" fillId="46" borderId="11" xfId="42" applyNumberFormat="1" applyFont="1" applyFill="1" applyBorder="1" applyAlignment="1" applyProtection="1">
      <alignment horizontal="right"/>
      <protection/>
    </xf>
    <xf numFmtId="4" fontId="0" fillId="42" borderId="0" xfId="42" applyNumberFormat="1" applyFont="1" applyFill="1" applyBorder="1" applyAlignment="1" applyProtection="1">
      <alignment horizontal="center" vertical="center" wrapText="1"/>
      <protection/>
    </xf>
    <xf numFmtId="4" fontId="0" fillId="42" borderId="0" xfId="42" applyNumberFormat="1" applyFont="1" applyFill="1" applyBorder="1" applyAlignment="1" applyProtection="1">
      <alignment vertical="center" wrapText="1"/>
      <protection/>
    </xf>
    <xf numFmtId="166" fontId="4" fillId="46" borderId="0" xfId="42" applyFont="1" applyFill="1" applyBorder="1" applyAlignment="1" applyProtection="1">
      <alignment horizontal="center" vertical="center"/>
      <protection/>
    </xf>
    <xf numFmtId="166" fontId="4" fillId="41" borderId="0" xfId="42" applyFont="1" applyFill="1" applyBorder="1" applyAlignment="1" applyProtection="1">
      <alignment horizontal="center" vertical="center" wrapText="1"/>
      <protection/>
    </xf>
    <xf numFmtId="4" fontId="4" fillId="41" borderId="0" xfId="42" applyNumberFormat="1" applyFont="1" applyFill="1" applyBorder="1" applyAlignment="1" applyProtection="1">
      <alignment horizontal="right" vertical="center" wrapText="1"/>
      <protection/>
    </xf>
    <xf numFmtId="4" fontId="0" fillId="46" borderId="11" xfId="42" applyNumberFormat="1" applyFont="1" applyFill="1" applyBorder="1" applyAlignment="1" applyProtection="1">
      <alignment/>
      <protection/>
    </xf>
    <xf numFmtId="4" fontId="0" fillId="36" borderId="0" xfId="42" applyNumberFormat="1" applyFont="1" applyFill="1" applyBorder="1" applyAlignment="1" applyProtection="1">
      <alignment horizontal="right" vertical="center" wrapText="1"/>
      <protection/>
    </xf>
    <xf numFmtId="4" fontId="0" fillId="46" borderId="11" xfId="42" applyNumberFormat="1" applyFont="1" applyFill="1" applyBorder="1" applyAlignment="1" applyProtection="1">
      <alignment vertical="center"/>
      <protection/>
    </xf>
    <xf numFmtId="166" fontId="27" fillId="42" borderId="0" xfId="42" applyFont="1" applyFill="1" applyBorder="1" applyAlignment="1" applyProtection="1">
      <alignment vertical="center" wrapText="1"/>
      <protection/>
    </xf>
    <xf numFmtId="166" fontId="27" fillId="42" borderId="40" xfId="42" applyFont="1" applyFill="1" applyBorder="1" applyAlignment="1" applyProtection="1">
      <alignment vertical="center" wrapText="1"/>
      <protection/>
    </xf>
    <xf numFmtId="166" fontId="4" fillId="36" borderId="37" xfId="42" applyFont="1" applyFill="1" applyBorder="1" applyAlignment="1" applyProtection="1">
      <alignment horizontal="left" vertical="center" wrapText="1" indent="1"/>
      <protection/>
    </xf>
    <xf numFmtId="166" fontId="4" fillId="36" borderId="0" xfId="42" applyFont="1" applyFill="1" applyBorder="1" applyAlignment="1" applyProtection="1">
      <alignment horizontal="left" vertical="center" wrapText="1" indent="1"/>
      <protection/>
    </xf>
    <xf numFmtId="4" fontId="0" fillId="42" borderId="0" xfId="42" applyNumberFormat="1" applyFont="1" applyFill="1" applyBorder="1" applyAlignment="1" applyProtection="1">
      <alignment horizontal="right" vertical="center"/>
      <protection/>
    </xf>
    <xf numFmtId="166" fontId="24" fillId="45" borderId="0" xfId="42" applyFont="1" applyFill="1" applyBorder="1" applyAlignment="1" applyProtection="1">
      <alignment horizontal="left" vertical="center" wrapText="1" indent="1"/>
      <protection/>
    </xf>
    <xf numFmtId="4" fontId="0" fillId="46" borderId="0" xfId="42" applyNumberFormat="1" applyFont="1" applyFill="1" applyBorder="1" applyAlignment="1" applyProtection="1">
      <alignment vertical="center"/>
      <protection/>
    </xf>
    <xf numFmtId="166" fontId="4" fillId="36" borderId="15" xfId="42" applyFont="1" applyFill="1" applyBorder="1" applyAlignment="1" applyProtection="1">
      <alignment horizontal="left" vertical="center" wrapText="1" indent="1"/>
      <protection/>
    </xf>
    <xf numFmtId="4" fontId="0" fillId="36" borderId="15" xfId="42" applyNumberFormat="1" applyFont="1" applyFill="1" applyBorder="1" applyAlignment="1" applyProtection="1">
      <alignment horizontal="right" vertical="center"/>
      <protection/>
    </xf>
    <xf numFmtId="4" fontId="0" fillId="42" borderId="15" xfId="42" applyNumberFormat="1" applyFont="1" applyFill="1" applyBorder="1" applyAlignment="1" applyProtection="1">
      <alignment horizontal="center" vertical="center"/>
      <protection/>
    </xf>
    <xf numFmtId="166" fontId="4" fillId="38" borderId="15" xfId="42" applyFont="1" applyFill="1" applyBorder="1" applyAlignment="1" applyProtection="1">
      <alignment horizontal="center" vertical="center"/>
      <protection/>
    </xf>
    <xf numFmtId="4" fontId="0" fillId="38" borderId="15" xfId="42" applyNumberFormat="1" applyFont="1" applyFill="1" applyBorder="1" applyAlignment="1" applyProtection="1">
      <alignment horizontal="right" vertical="center"/>
      <protection/>
    </xf>
    <xf numFmtId="166" fontId="24" fillId="45" borderId="15" xfId="42" applyFont="1" applyFill="1" applyBorder="1" applyAlignment="1" applyProtection="1">
      <alignment horizontal="left" vertical="center" wrapText="1" indent="1"/>
      <protection/>
    </xf>
    <xf numFmtId="166" fontId="0" fillId="41" borderId="15" xfId="42" applyFont="1" applyFill="1" applyBorder="1" applyAlignment="1" applyProtection="1">
      <alignment horizontal="center" vertical="center"/>
      <protection/>
    </xf>
    <xf numFmtId="4" fontId="0" fillId="41" borderId="15" xfId="42" applyNumberFormat="1" applyFont="1" applyFill="1" applyBorder="1" applyAlignment="1" applyProtection="1">
      <alignment horizontal="right" vertical="center"/>
      <protection/>
    </xf>
    <xf numFmtId="166" fontId="4" fillId="46" borderId="15" xfId="42" applyFont="1" applyFill="1" applyBorder="1" applyAlignment="1" applyProtection="1">
      <alignment horizontal="center" vertical="center"/>
      <protection/>
    </xf>
    <xf numFmtId="4" fontId="0" fillId="46" borderId="15" xfId="42" applyNumberFormat="1" applyFont="1" applyFill="1" applyBorder="1" applyAlignment="1" applyProtection="1">
      <alignment vertical="center"/>
      <protection/>
    </xf>
    <xf numFmtId="166" fontId="29" fillId="47" borderId="0" xfId="42" applyFont="1" applyFill="1" applyBorder="1" applyAlignment="1" applyProtection="1">
      <alignment horizontal="right"/>
      <protection/>
    </xf>
    <xf numFmtId="166" fontId="29" fillId="47" borderId="0" xfId="42" applyFont="1" applyFill="1" applyBorder="1" applyAlignment="1" applyProtection="1">
      <alignment horizontal="center" vertical="center"/>
      <protection/>
    </xf>
    <xf numFmtId="166" fontId="29" fillId="0" borderId="0" xfId="42" applyFont="1" applyFill="1" applyBorder="1" applyAlignment="1" applyProtection="1">
      <alignment horizontal="left" vertical="center"/>
      <protection/>
    </xf>
    <xf numFmtId="166" fontId="0" fillId="0" borderId="0" xfId="42" applyFont="1" applyFill="1" applyBorder="1" applyAlignment="1" applyProtection="1">
      <alignment horizontal="center"/>
      <protection/>
    </xf>
    <xf numFmtId="166" fontId="0" fillId="0" borderId="0" xfId="42" applyFont="1" applyFill="1" applyBorder="1" applyAlignment="1" applyProtection="1">
      <alignment vertical="center"/>
      <protection/>
    </xf>
    <xf numFmtId="166" fontId="0" fillId="0" borderId="0" xfId="42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66" fontId="30" fillId="0" borderId="0" xfId="42" applyFont="1" applyFill="1" applyBorder="1" applyAlignment="1" applyProtection="1">
      <alignment horizontal="right"/>
      <protection/>
    </xf>
    <xf numFmtId="166" fontId="4" fillId="0" borderId="0" xfId="42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 vertical="center" wrapText="1"/>
    </xf>
    <xf numFmtId="166" fontId="0" fillId="0" borderId="0" xfId="42" applyFont="1" applyFill="1" applyBorder="1" applyAlignment="1" applyProtection="1">
      <alignment horizontal="left"/>
      <protection/>
    </xf>
    <xf numFmtId="166" fontId="23" fillId="47" borderId="0" xfId="42" applyFont="1" applyFill="1" applyBorder="1" applyAlignment="1" applyProtection="1">
      <alignment horizontal="right"/>
      <protection/>
    </xf>
    <xf numFmtId="2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2" fontId="0" fillId="0" borderId="0" xfId="42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 vertical="center" wrapText="1"/>
    </xf>
    <xf numFmtId="2" fontId="4" fillId="0" borderId="0" xfId="42" applyNumberFormat="1" applyFont="1" applyFill="1" applyBorder="1" applyAlignment="1" applyProtection="1">
      <alignment horizontal="center" vertical="center"/>
      <protection/>
    </xf>
    <xf numFmtId="166" fontId="31" fillId="0" borderId="0" xfId="42" applyFont="1" applyFill="1" applyBorder="1" applyAlignment="1" applyProtection="1">
      <alignment horizontal="left" vertical="center"/>
      <protection/>
    </xf>
    <xf numFmtId="166" fontId="22" fillId="0" borderId="0" xfId="0" applyNumberFormat="1" applyFont="1" applyAlignment="1">
      <alignment horizontal="right"/>
    </xf>
    <xf numFmtId="166" fontId="0" fillId="0" borderId="0" xfId="42" applyFont="1" applyFill="1" applyBorder="1" applyAlignment="1" applyProtection="1">
      <alignment wrapText="1"/>
      <protection/>
    </xf>
    <xf numFmtId="4" fontId="2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33" fillId="37" borderId="19" xfId="0" applyFont="1" applyFill="1" applyBorder="1" applyAlignment="1">
      <alignment horizontal="center"/>
    </xf>
    <xf numFmtId="0" fontId="33" fillId="37" borderId="20" xfId="0" applyFont="1" applyFill="1" applyBorder="1" applyAlignment="1">
      <alignment horizontal="center"/>
    </xf>
    <xf numFmtId="0" fontId="33" fillId="37" borderId="21" xfId="0" applyFont="1" applyFill="1" applyBorder="1" applyAlignment="1">
      <alignment horizontal="center"/>
    </xf>
    <xf numFmtId="0" fontId="33" fillId="47" borderId="41" xfId="0" applyFont="1" applyFill="1" applyBorder="1" applyAlignment="1">
      <alignment vertical="center"/>
    </xf>
    <xf numFmtId="0" fontId="33" fillId="37" borderId="36" xfId="0" applyFont="1" applyFill="1" applyBorder="1" applyAlignment="1">
      <alignment horizontal="center" vertical="center"/>
    </xf>
    <xf numFmtId="1" fontId="33" fillId="37" borderId="14" xfId="0" applyNumberFormat="1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center" vertical="center"/>
    </xf>
    <xf numFmtId="1" fontId="33" fillId="37" borderId="10" xfId="0" applyNumberFormat="1" applyFont="1" applyFill="1" applyBorder="1" applyAlignment="1">
      <alignment horizontal="center" vertical="center"/>
    </xf>
    <xf numFmtId="0" fontId="33" fillId="47" borderId="26" xfId="0" applyFont="1" applyFill="1" applyBorder="1" applyAlignment="1">
      <alignment vertical="center"/>
    </xf>
    <xf numFmtId="0" fontId="33" fillId="37" borderId="37" xfId="0" applyFont="1" applyFill="1" applyBorder="1" applyAlignment="1">
      <alignment horizontal="center" vertical="center"/>
    </xf>
    <xf numFmtId="1" fontId="33" fillId="37" borderId="0" xfId="0" applyNumberFormat="1" applyFont="1" applyFill="1" applyAlignment="1">
      <alignment horizontal="center" vertical="center"/>
    </xf>
    <xf numFmtId="0" fontId="33" fillId="37" borderId="0" xfId="0" applyFont="1" applyFill="1" applyAlignment="1">
      <alignment horizontal="center" vertical="center"/>
    </xf>
    <xf numFmtId="1" fontId="33" fillId="37" borderId="11" xfId="0" applyNumberFormat="1" applyFont="1" applyFill="1" applyBorder="1" applyAlignment="1">
      <alignment horizontal="center" vertical="center"/>
    </xf>
    <xf numFmtId="0" fontId="33" fillId="47" borderId="25" xfId="0" applyFont="1" applyFill="1" applyBorder="1" applyAlignment="1">
      <alignment vertical="center"/>
    </xf>
    <xf numFmtId="0" fontId="33" fillId="37" borderId="38" xfId="0" applyFont="1" applyFill="1" applyBorder="1" applyAlignment="1">
      <alignment horizontal="center" vertical="center"/>
    </xf>
    <xf numFmtId="1" fontId="33" fillId="37" borderId="15" xfId="0" applyNumberFormat="1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center" vertical="center"/>
    </xf>
    <xf numFmtId="1" fontId="33" fillId="37" borderId="12" xfId="0" applyNumberFormat="1" applyFont="1" applyFill="1" applyBorder="1" applyAlignment="1">
      <alignment horizontal="center" vertical="center"/>
    </xf>
    <xf numFmtId="0" fontId="33" fillId="37" borderId="13" xfId="0" applyFont="1" applyFill="1" applyBorder="1" applyAlignment="1">
      <alignment horizontal="center"/>
    </xf>
    <xf numFmtId="2" fontId="32" fillId="0" borderId="0" xfId="0" applyNumberFormat="1" applyFont="1" applyAlignment="1">
      <alignment horizontal="center"/>
    </xf>
    <xf numFmtId="0" fontId="34" fillId="48" borderId="37" xfId="0" applyFont="1" applyFill="1" applyBorder="1" applyAlignment="1">
      <alignment horizontal="center"/>
    </xf>
    <xf numFmtId="0" fontId="34" fillId="48" borderId="11" xfId="0" applyFont="1" applyFill="1" applyBorder="1" applyAlignment="1">
      <alignment horizontal="center"/>
    </xf>
    <xf numFmtId="0" fontId="32" fillId="49" borderId="36" xfId="0" applyFont="1" applyFill="1" applyBorder="1" applyAlignment="1">
      <alignment horizontal="center"/>
    </xf>
    <xf numFmtId="166" fontId="32" fillId="49" borderId="14" xfId="42" applyFont="1" applyFill="1" applyBorder="1" applyAlignment="1" applyProtection="1">
      <alignment/>
      <protection/>
    </xf>
    <xf numFmtId="166" fontId="35" fillId="49" borderId="10" xfId="42" applyFont="1" applyFill="1" applyBorder="1" applyAlignment="1" applyProtection="1">
      <alignment/>
      <protection/>
    </xf>
    <xf numFmtId="166" fontId="32" fillId="0" borderId="0" xfId="0" applyNumberFormat="1" applyFont="1" applyAlignment="1">
      <alignment/>
    </xf>
    <xf numFmtId="0" fontId="32" fillId="44" borderId="37" xfId="0" applyFont="1" applyFill="1" applyBorder="1" applyAlignment="1">
      <alignment/>
    </xf>
    <xf numFmtId="166" fontId="32" fillId="44" borderId="0" xfId="42" applyFont="1" applyFill="1" applyBorder="1" applyAlignment="1" applyProtection="1">
      <alignment/>
      <protection/>
    </xf>
    <xf numFmtId="166" fontId="32" fillId="44" borderId="11" xfId="42" applyFont="1" applyFill="1" applyBorder="1" applyAlignment="1" applyProtection="1">
      <alignment/>
      <protection/>
    </xf>
    <xf numFmtId="49" fontId="32" fillId="44" borderId="37" xfId="0" applyNumberFormat="1" applyFont="1" applyFill="1" applyBorder="1" applyAlignment="1">
      <alignment/>
    </xf>
    <xf numFmtId="0" fontId="32" fillId="44" borderId="38" xfId="0" applyFont="1" applyFill="1" applyBorder="1" applyAlignment="1">
      <alignment/>
    </xf>
    <xf numFmtId="166" fontId="32" fillId="44" borderId="15" xfId="42" applyFont="1" applyFill="1" applyBorder="1" applyAlignment="1" applyProtection="1">
      <alignment/>
      <protection/>
    </xf>
    <xf numFmtId="166" fontId="32" fillId="44" borderId="12" xfId="42" applyFont="1" applyFill="1" applyBorder="1" applyAlignment="1" applyProtection="1">
      <alignment/>
      <protection/>
    </xf>
    <xf numFmtId="166" fontId="32" fillId="0" borderId="0" xfId="42" applyFont="1" applyFill="1" applyBorder="1" applyAlignment="1" applyProtection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4" borderId="19" xfId="0" applyFont="1" applyFill="1" applyBorder="1" applyAlignment="1">
      <alignment/>
    </xf>
    <xf numFmtId="169" fontId="29" fillId="34" borderId="20" xfId="42" applyNumberFormat="1" applyFont="1" applyFill="1" applyBorder="1" applyAlignment="1" applyProtection="1">
      <alignment/>
      <protection/>
    </xf>
    <xf numFmtId="0" fontId="29" fillId="34" borderId="20" xfId="0" applyFont="1" applyFill="1" applyBorder="1" applyAlignment="1">
      <alignment/>
    </xf>
    <xf numFmtId="165" fontId="29" fillId="34" borderId="21" xfId="0" applyNumberFormat="1" applyFont="1" applyFill="1" applyBorder="1" applyAlignment="1">
      <alignment horizontal="center"/>
    </xf>
    <xf numFmtId="0" fontId="29" fillId="0" borderId="19" xfId="0" applyFont="1" applyBorder="1" applyAlignment="1">
      <alignment/>
    </xf>
    <xf numFmtId="169" fontId="29" fillId="0" borderId="20" xfId="42" applyNumberFormat="1" applyFont="1" applyFill="1" applyBorder="1" applyAlignment="1" applyProtection="1">
      <alignment/>
      <protection/>
    </xf>
    <xf numFmtId="0" fontId="29" fillId="0" borderId="20" xfId="0" applyFont="1" applyBorder="1" applyAlignment="1">
      <alignment/>
    </xf>
    <xf numFmtId="165" fontId="29" fillId="0" borderId="21" xfId="0" applyNumberFormat="1" applyFont="1" applyBorder="1" applyAlignment="1">
      <alignment horizontal="center"/>
    </xf>
    <xf numFmtId="169" fontId="29" fillId="0" borderId="14" xfId="42" applyNumberFormat="1" applyFont="1" applyFill="1" applyBorder="1" applyAlignment="1" applyProtection="1">
      <alignment/>
      <protection/>
    </xf>
    <xf numFmtId="169" fontId="29" fillId="0" borderId="21" xfId="42" applyNumberFormat="1" applyFont="1" applyFill="1" applyBorder="1" applyAlignment="1" applyProtection="1">
      <alignment/>
      <protection/>
    </xf>
    <xf numFmtId="169" fontId="29" fillId="0" borderId="0" xfId="42" applyNumberFormat="1" applyFont="1" applyFill="1" applyBorder="1" applyAlignment="1" applyProtection="1">
      <alignment/>
      <protection/>
    </xf>
    <xf numFmtId="169" fontId="29" fillId="34" borderId="21" xfId="42" applyNumberFormat="1" applyFont="1" applyFill="1" applyBorder="1" applyAlignment="1" applyProtection="1">
      <alignment/>
      <protection/>
    </xf>
    <xf numFmtId="166" fontId="29" fillId="0" borderId="0" xfId="0" applyNumberFormat="1" applyFont="1" applyAlignment="1">
      <alignment/>
    </xf>
    <xf numFmtId="166" fontId="29" fillId="0" borderId="0" xfId="42" applyFont="1" applyFill="1" applyBorder="1" applyAlignment="1" applyProtection="1">
      <alignment/>
      <protection/>
    </xf>
    <xf numFmtId="0" fontId="29" fillId="34" borderId="38" xfId="0" applyFont="1" applyFill="1" applyBorder="1" applyAlignment="1">
      <alignment/>
    </xf>
    <xf numFmtId="169" fontId="29" fillId="0" borderId="0" xfId="0" applyNumberFormat="1" applyFont="1" applyAlignment="1">
      <alignment/>
    </xf>
    <xf numFmtId="169" fontId="29" fillId="34" borderId="21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41" fillId="34" borderId="0" xfId="0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50" borderId="0" xfId="0" applyFont="1" applyFill="1" applyAlignment="1">
      <alignment horizontal="right"/>
    </xf>
    <xf numFmtId="0" fontId="0" fillId="50" borderId="0" xfId="0" applyFill="1" applyAlignment="1">
      <alignment horizontal="center"/>
    </xf>
    <xf numFmtId="0" fontId="2" fillId="36" borderId="1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 textRotation="90"/>
    </xf>
    <xf numFmtId="0" fontId="7" fillId="37" borderId="12" xfId="0" applyFont="1" applyFill="1" applyBorder="1" applyAlignment="1">
      <alignment horizontal="center" vertical="top" textRotation="90"/>
    </xf>
    <xf numFmtId="0" fontId="7" fillId="37" borderId="25" xfId="0" applyFont="1" applyFill="1" applyBorder="1" applyAlignment="1">
      <alignment horizontal="center" vertical="top" textRotation="90"/>
    </xf>
    <xf numFmtId="0" fontId="7" fillId="38" borderId="25" xfId="0" applyFont="1" applyFill="1" applyBorder="1" applyAlignment="1">
      <alignment horizontal="center" vertical="top" textRotation="90"/>
    </xf>
    <xf numFmtId="0" fontId="7" fillId="39" borderId="25" xfId="0" applyFont="1" applyFill="1" applyBorder="1" applyAlignment="1">
      <alignment horizontal="center" vertical="top" textRotation="90" wrapText="1"/>
    </xf>
    <xf numFmtId="0" fontId="4" fillId="33" borderId="4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5" fontId="4" fillId="33" borderId="25" xfId="0" applyNumberFormat="1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left" vertical="center"/>
    </xf>
    <xf numFmtId="0" fontId="13" fillId="35" borderId="38" xfId="0" applyFont="1" applyFill="1" applyBorder="1" applyAlignment="1">
      <alignment horizontal="center" vertical="center" textRotation="90"/>
    </xf>
    <xf numFmtId="0" fontId="13" fillId="37" borderId="42" xfId="0" applyFont="1" applyFill="1" applyBorder="1" applyAlignment="1">
      <alignment horizontal="center" vertical="center" textRotation="90"/>
    </xf>
    <xf numFmtId="0" fontId="13" fillId="37" borderId="22" xfId="0" applyFont="1" applyFill="1" applyBorder="1" applyAlignment="1">
      <alignment horizontal="center" vertical="center" textRotation="90"/>
    </xf>
    <xf numFmtId="0" fontId="13" fillId="38" borderId="22" xfId="0" applyFont="1" applyFill="1" applyBorder="1" applyAlignment="1">
      <alignment horizontal="center" vertical="center" textRotation="90"/>
    </xf>
    <xf numFmtId="0" fontId="13" fillId="34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4" fillId="41" borderId="1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textRotation="90"/>
    </xf>
    <xf numFmtId="0" fontId="4" fillId="37" borderId="17" xfId="0" applyFont="1" applyFill="1" applyBorder="1" applyAlignment="1">
      <alignment horizontal="center" vertical="center" textRotation="90"/>
    </xf>
    <xf numFmtId="0" fontId="4" fillId="38" borderId="17" xfId="0" applyFont="1" applyFill="1" applyBorder="1" applyAlignment="1">
      <alignment horizontal="center" vertical="center" textRotation="90"/>
    </xf>
    <xf numFmtId="0" fontId="4" fillId="34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6" fontId="27" fillId="36" borderId="36" xfId="42" applyFont="1" applyFill="1" applyBorder="1" applyAlignment="1" applyProtection="1">
      <alignment horizontal="center" vertical="center" wrapText="1"/>
      <protection/>
    </xf>
    <xf numFmtId="166" fontId="27" fillId="42" borderId="20" xfId="42" applyFont="1" applyFill="1" applyBorder="1" applyAlignment="1" applyProtection="1">
      <alignment horizontal="center" vertical="center" wrapText="1"/>
      <protection/>
    </xf>
    <xf numFmtId="166" fontId="27" fillId="38" borderId="20" xfId="42" applyFont="1" applyFill="1" applyBorder="1" applyAlignment="1" applyProtection="1">
      <alignment horizontal="center" vertical="center" wrapText="1"/>
      <protection/>
    </xf>
    <xf numFmtId="166" fontId="27" fillId="45" borderId="14" xfId="42" applyFont="1" applyFill="1" applyBorder="1" applyAlignment="1" applyProtection="1">
      <alignment horizontal="center" vertical="center" wrapText="1"/>
      <protection/>
    </xf>
    <xf numFmtId="166" fontId="27" fillId="41" borderId="20" xfId="42" applyFont="1" applyFill="1" applyBorder="1" applyAlignment="1" applyProtection="1">
      <alignment horizontal="center" vertical="center" wrapText="1"/>
      <protection/>
    </xf>
    <xf numFmtId="166" fontId="27" fillId="46" borderId="10" xfId="42" applyFont="1" applyFill="1" applyBorder="1" applyAlignment="1" applyProtection="1">
      <alignment horizontal="center" vertical="center" wrapText="1"/>
      <protection/>
    </xf>
    <xf numFmtId="166" fontId="27" fillId="42" borderId="15" xfId="42" applyFont="1" applyFill="1" applyBorder="1" applyAlignment="1" applyProtection="1">
      <alignment horizontal="center" vertical="center" wrapText="1"/>
      <protection/>
    </xf>
    <xf numFmtId="166" fontId="27" fillId="38" borderId="43" xfId="42" applyFont="1" applyFill="1" applyBorder="1" applyAlignment="1" applyProtection="1">
      <alignment horizontal="center" vertical="center" wrapText="1"/>
      <protection/>
    </xf>
    <xf numFmtId="4" fontId="0" fillId="42" borderId="20" xfId="42" applyNumberFormat="1" applyFont="1" applyFill="1" applyBorder="1" applyAlignment="1" applyProtection="1">
      <alignment horizontal="center" vertical="center"/>
      <protection/>
    </xf>
    <xf numFmtId="166" fontId="24" fillId="45" borderId="0" xfId="42" applyFont="1" applyFill="1" applyBorder="1" applyAlignment="1" applyProtection="1">
      <alignment horizontal="left" vertical="center" wrapText="1" indent="1"/>
      <protection/>
    </xf>
    <xf numFmtId="166" fontId="4" fillId="0" borderId="0" xfId="42" applyFont="1" applyFill="1" applyBorder="1" applyAlignment="1" applyProtection="1">
      <alignment horizontal="center"/>
      <protection/>
    </xf>
    <xf numFmtId="166" fontId="29" fillId="47" borderId="0" xfId="42" applyFont="1" applyFill="1" applyBorder="1" applyAlignment="1" applyProtection="1">
      <alignment horizontal="right" vertical="center"/>
      <protection/>
    </xf>
    <xf numFmtId="166" fontId="29" fillId="47" borderId="0" xfId="42" applyFont="1" applyFill="1" applyBorder="1" applyAlignment="1" applyProtection="1">
      <alignment horizontal="center" vertical="center"/>
      <protection/>
    </xf>
    <xf numFmtId="0" fontId="27" fillId="51" borderId="19" xfId="0" applyFont="1" applyFill="1" applyBorder="1" applyAlignment="1">
      <alignment horizontal="center"/>
    </xf>
    <xf numFmtId="0" fontId="27" fillId="51" borderId="21" xfId="0" applyFont="1" applyFill="1" applyBorder="1" applyAlignment="1">
      <alignment horizontal="center"/>
    </xf>
    <xf numFmtId="0" fontId="34" fillId="48" borderId="4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34" borderId="19" xfId="0" applyFont="1" applyFill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16 % wpłat</a:t>
            </a:r>
          </a:p>
        </c:rich>
      </c:tx>
      <c:layout>
        <c:manualLayout>
          <c:xMode val="factor"/>
          <c:yMode val="factor"/>
          <c:x val="0.046"/>
          <c:y val="0.1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25"/>
          <c:y val="0.22175"/>
          <c:w val="0.694"/>
          <c:h val="0.7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'Wpłaty na Radę Rodziców'!$S$50:$S$51</c:f>
              <c:strCache>
                <c:ptCount val="1"/>
                <c:pt idx="0">
                  <c:v>30 % wpłat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'Wpłaty na Radę Rodziców'!$C$4:$C$49</c:f>
              <c:strCache/>
            </c:strRef>
          </c:cat>
          <c:val>
            <c:numRef>
              <c:f>'Wpłaty na Radę Rodziców'!$S$4:$S$49</c:f>
              <c:numCache/>
            </c:numRef>
          </c:val>
        </c:ser>
        <c:gapWidth val="21"/>
        <c:axId val="62528905"/>
        <c:axId val="25889234"/>
      </c:barChart>
      <c:catAx>
        <c:axId val="625289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89234"/>
        <c:crossesAt val="0"/>
        <c:auto val="1"/>
        <c:lblOffset val="100"/>
        <c:tickLblSkip val="2"/>
        <c:noMultiLvlLbl val="0"/>
      </c:catAx>
      <c:valAx>
        <c:axId val="25889234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289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% wpłat</a:t>
            </a:r>
          </a:p>
        </c:rich>
      </c:tx>
      <c:layout>
        <c:manualLayout>
          <c:xMode val="factor"/>
          <c:yMode val="factor"/>
          <c:x val="0.03275"/>
          <c:y val="0.1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25"/>
          <c:y val="0.21475"/>
          <c:w val="0.694"/>
          <c:h val="0.7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'Wpłaty na Radę Rodziców'!$S$51:$S$54</c:f>
              <c:strCache>
                <c:ptCount val="1"/>
                <c:pt idx="0">
                  <c:v>% wpłat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'Wpłaty na Radę Rodziców'!$C$4:$C$50</c:f>
              <c:strCache/>
            </c:strRef>
          </c:cat>
          <c:val>
            <c:numRef>
              <c:f>'Wpłaty na Radę Rodziców'!$S$4:$S$50</c:f>
              <c:numCache/>
            </c:numRef>
          </c:val>
        </c:ser>
        <c:gapWidth val="21"/>
        <c:axId val="31676515"/>
        <c:axId val="16653180"/>
      </c:barChart>
      <c:catAx>
        <c:axId val="316765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53180"/>
        <c:crossesAt val="0"/>
        <c:auto val="1"/>
        <c:lblOffset val="100"/>
        <c:tickLblSkip val="2"/>
        <c:noMultiLvlLbl val="0"/>
      </c:catAx>
      <c:valAx>
        <c:axId val="1665318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765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18   % włat</a:t>
            </a:r>
          </a:p>
        </c:rich>
      </c:tx>
      <c:layout>
        <c:manualLayout>
          <c:xMode val="factor"/>
          <c:yMode val="factor"/>
          <c:x val="0.04075"/>
          <c:y val="0.14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21125"/>
          <c:w val="0.7135"/>
          <c:h val="0.7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'Wpłaty na Ksero'!$R$55:$R$59</c:f>
              <c:strCache>
                <c:ptCount val="1"/>
                <c:pt idx="0">
                  <c:v>24   % włat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'Wpłaty na Ksero'!$C$10:$C$54</c:f>
              <c:strCache/>
            </c:strRef>
          </c:cat>
          <c:val>
            <c:numRef>
              <c:f>'Wpłaty na Ksero'!$R$10:$R$54</c:f>
              <c:numCache/>
            </c:numRef>
          </c:val>
        </c:ser>
        <c:gapWidth val="21"/>
        <c:axId val="15660893"/>
        <c:axId val="6730310"/>
      </c:barChart>
      <c:catAx>
        <c:axId val="156608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30310"/>
        <c:crossesAt val="0"/>
        <c:auto val="1"/>
        <c:lblOffset val="100"/>
        <c:tickLblSkip val="2"/>
        <c:noMultiLvlLbl val="0"/>
      </c:catAx>
      <c:valAx>
        <c:axId val="673031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608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 % wpłat</a:t>
            </a:r>
          </a:p>
        </c:rich>
      </c:tx>
      <c:layout>
        <c:manualLayout>
          <c:xMode val="factor"/>
          <c:yMode val="factor"/>
          <c:x val="0.036"/>
          <c:y val="0.1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5"/>
          <c:y val="0.19925"/>
          <c:w val="0.72025"/>
          <c:h val="0.7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'Wpłaty na Ksero'!$R$56:$R$62</c:f>
              <c:strCache>
                <c:ptCount val="1"/>
                <c:pt idx="0">
                  <c:v>  % włat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'Wpłaty na Ksero'!$C$4:$C$55</c:f>
              <c:strCache/>
            </c:strRef>
          </c:cat>
          <c:val>
            <c:numRef>
              <c:f>'Wpłaty na Ksero'!$R$4:$R$55</c:f>
              <c:numCache/>
            </c:numRef>
          </c:val>
        </c:ser>
        <c:gapWidth val="21"/>
        <c:axId val="60572791"/>
        <c:axId val="8284208"/>
      </c:barChart>
      <c:catAx>
        <c:axId val="605727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84208"/>
        <c:crossesAt val="0"/>
        <c:auto val="1"/>
        <c:lblOffset val="100"/>
        <c:tickLblSkip val="2"/>
        <c:noMultiLvlLbl val="0"/>
      </c:catAx>
      <c:valAx>
        <c:axId val="828420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7279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828675</xdr:rowOff>
    </xdr:from>
    <xdr:to>
      <xdr:col>28</xdr:col>
      <xdr:colOff>495300</xdr:colOff>
      <xdr:row>49</xdr:row>
      <xdr:rowOff>0</xdr:rowOff>
    </xdr:to>
    <xdr:graphicFrame>
      <xdr:nvGraphicFramePr>
        <xdr:cNvPr id="1" name="Wykres 2"/>
        <xdr:cNvGraphicFramePr/>
      </xdr:nvGraphicFramePr>
      <xdr:xfrm>
        <a:off x="15354300" y="1685925"/>
        <a:ext cx="462915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133350</xdr:colOff>
      <xdr:row>2</xdr:row>
      <xdr:rowOff>866775</xdr:rowOff>
    </xdr:from>
    <xdr:to>
      <xdr:col>28</xdr:col>
      <xdr:colOff>495300</xdr:colOff>
      <xdr:row>51</xdr:row>
      <xdr:rowOff>0</xdr:rowOff>
    </xdr:to>
    <xdr:graphicFrame>
      <xdr:nvGraphicFramePr>
        <xdr:cNvPr id="2" name="Wykres 3"/>
        <xdr:cNvGraphicFramePr/>
      </xdr:nvGraphicFramePr>
      <xdr:xfrm>
        <a:off x="15354300" y="1724025"/>
        <a:ext cx="4629150" cy="932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2</xdr:row>
      <xdr:rowOff>752475</xdr:rowOff>
    </xdr:from>
    <xdr:to>
      <xdr:col>26</xdr:col>
      <xdr:colOff>114300</xdr:colOff>
      <xdr:row>53</xdr:row>
      <xdr:rowOff>123825</xdr:rowOff>
    </xdr:to>
    <xdr:graphicFrame>
      <xdr:nvGraphicFramePr>
        <xdr:cNvPr id="1" name="Wykres 2"/>
        <xdr:cNvGraphicFramePr/>
      </xdr:nvGraphicFramePr>
      <xdr:xfrm>
        <a:off x="11087100" y="1495425"/>
        <a:ext cx="4857750" cy="1009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266700</xdr:colOff>
      <xdr:row>2</xdr:row>
      <xdr:rowOff>266700</xdr:rowOff>
    </xdr:from>
    <xdr:to>
      <xdr:col>26</xdr:col>
      <xdr:colOff>238125</xdr:colOff>
      <xdr:row>55</xdr:row>
      <xdr:rowOff>161925</xdr:rowOff>
    </xdr:to>
    <xdr:graphicFrame>
      <xdr:nvGraphicFramePr>
        <xdr:cNvPr id="2" name="Wykres 3"/>
        <xdr:cNvGraphicFramePr/>
      </xdr:nvGraphicFramePr>
      <xdr:xfrm>
        <a:off x="11220450" y="1009650"/>
        <a:ext cx="4848225" cy="1100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Z25"/>
  <sheetViews>
    <sheetView tabSelected="1" zoomScalePageLayoutView="0" workbookViewId="0" topLeftCell="E2">
      <selection activeCell="E21" sqref="E21:Y25"/>
    </sheetView>
  </sheetViews>
  <sheetFormatPr defaultColWidth="9.140625" defaultRowHeight="15"/>
  <sheetData>
    <row r="4" spans="5:26" ht="15" customHeight="1">
      <c r="E4" s="307" t="s">
        <v>0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5:26" ht="15" customHeight="1"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 spans="5:26" ht="15" customHeight="1"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5:26" ht="15" customHeight="1"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</row>
    <row r="8" spans="5:26" ht="15" customHeight="1"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</row>
    <row r="9" spans="5:26" ht="15" customHeight="1"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5:26" ht="15" customHeight="1"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5:26" ht="15" customHeight="1"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</row>
    <row r="12" spans="5:26" ht="15" customHeight="1"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5:26" ht="15" customHeight="1"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</row>
    <row r="14" spans="5:26" ht="15" customHeight="1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6" spans="5:26" ht="12.75" customHeight="1">
      <c r="E16" s="308" t="s">
        <v>1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2"/>
    </row>
    <row r="17" spans="5:26" ht="14.25"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"/>
    </row>
    <row r="18" spans="5:26" ht="14.25"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"/>
    </row>
    <row r="19" spans="5:26" ht="14.25"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"/>
    </row>
    <row r="20" spans="5:26" ht="14.25"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"/>
    </row>
    <row r="21" spans="5:26" ht="14.25">
      <c r="E21" s="309">
        <v>44242</v>
      </c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"/>
    </row>
    <row r="22" spans="5:26" ht="14.25"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"/>
    </row>
    <row r="23" spans="5:26" ht="14.25"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"/>
    </row>
    <row r="24" spans="5:26" ht="14.25"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"/>
    </row>
    <row r="25" spans="5:26" ht="14.25"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4"/>
    </row>
  </sheetData>
  <sheetProtection selectLockedCells="1" selectUnlockedCells="1"/>
  <mergeCells count="3">
    <mergeCell ref="E4:Z13"/>
    <mergeCell ref="E16:Y20"/>
    <mergeCell ref="E21:Y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0" customWidth="1"/>
    <col min="2" max="2" width="48.57421875" style="0" customWidth="1"/>
    <col min="3" max="3" width="18.00390625" style="0" customWidth="1"/>
    <col min="4" max="4" width="9.28125" style="0" customWidth="1"/>
  </cols>
  <sheetData>
    <row r="1" spans="1:4" ht="72.75" customHeight="1">
      <c r="A1" s="353" t="s">
        <v>255</v>
      </c>
      <c r="B1" s="353"/>
      <c r="C1" s="353"/>
      <c r="D1" s="353"/>
    </row>
    <row r="2" spans="1:4" ht="28.5">
      <c r="A2" s="354" t="s">
        <v>256</v>
      </c>
      <c r="B2" s="354"/>
      <c r="C2" s="354"/>
      <c r="D2" s="354"/>
    </row>
    <row r="3" spans="1:4" ht="15">
      <c r="A3" s="276"/>
      <c r="B3" s="276"/>
      <c r="C3" s="276"/>
      <c r="D3" s="276"/>
    </row>
    <row r="4" spans="1:4" ht="18">
      <c r="A4" s="277" t="s">
        <v>257</v>
      </c>
      <c r="B4" s="277"/>
      <c r="C4" s="277"/>
      <c r="D4" s="277"/>
    </row>
    <row r="5" spans="1:4" ht="18">
      <c r="A5" s="277"/>
      <c r="B5" s="277"/>
      <c r="C5" s="277"/>
      <c r="D5" s="278" t="s">
        <v>30</v>
      </c>
    </row>
    <row r="6" spans="1:4" ht="18">
      <c r="A6" s="279" t="s">
        <v>258</v>
      </c>
      <c r="B6" s="280">
        <f>'Wpłaty na Radę Rodziców'!Q50</f>
        <v>18665.41</v>
      </c>
      <c r="C6" s="281"/>
      <c r="D6" s="282">
        <f>'Wpłaty na Radę Rodziców'!S50</f>
        <v>30.05702093397746</v>
      </c>
    </row>
    <row r="7" spans="1:4" ht="18">
      <c r="A7" s="283" t="s">
        <v>259</v>
      </c>
      <c r="B7" s="284">
        <f>'Wpłaty na Basen'!R22</f>
        <v>-382</v>
      </c>
      <c r="C7" s="285"/>
      <c r="D7" s="286" t="e">
        <f>'Wpłaty na Basen'!S22</f>
        <v>#DIV/0!</v>
      </c>
    </row>
    <row r="8" spans="1:4" ht="18">
      <c r="A8" s="279" t="s">
        <v>260</v>
      </c>
      <c r="B8" s="280">
        <f>'Wpłaty na Ksero'!Q55</f>
        <v>11210.760000000002</v>
      </c>
      <c r="C8" s="281"/>
      <c r="D8" s="282">
        <f>'Wpłaty na Ksero'!R55</f>
        <v>24.30780572419775</v>
      </c>
    </row>
    <row r="9" spans="1:4" ht="18">
      <c r="A9" s="284" t="s">
        <v>261</v>
      </c>
      <c r="B9" s="284">
        <f>'Wydatki i inne wpływy'!D25</f>
        <v>790</v>
      </c>
      <c r="C9" s="287"/>
      <c r="D9" s="287"/>
    </row>
    <row r="10" spans="1:4" ht="18">
      <c r="A10" s="280" t="s">
        <v>169</v>
      </c>
      <c r="B10" s="280">
        <f>'Wydatki i inne wpływy'!L2</f>
        <v>0</v>
      </c>
      <c r="C10" s="277"/>
      <c r="D10" s="278"/>
    </row>
    <row r="11" spans="1:4" ht="18">
      <c r="A11" s="283" t="s">
        <v>262</v>
      </c>
      <c r="B11" s="288">
        <f>'Wydatki i inne wpływy'!E67</f>
        <v>86421.78</v>
      </c>
      <c r="C11" s="277"/>
      <c r="D11" s="277"/>
    </row>
    <row r="12" spans="1:4" ht="18">
      <c r="A12" s="277"/>
      <c r="B12" s="289"/>
      <c r="C12" s="277"/>
      <c r="D12" s="277"/>
    </row>
    <row r="13" spans="1:4" ht="18">
      <c r="A13" s="279" t="s">
        <v>173</v>
      </c>
      <c r="B13" s="290">
        <f>SUM(B6:B12)</f>
        <v>116705.95</v>
      </c>
      <c r="C13" s="277"/>
      <c r="D13" s="291"/>
    </row>
    <row r="14" spans="1:4" ht="18">
      <c r="A14" s="277"/>
      <c r="B14" s="277"/>
      <c r="C14" s="292"/>
      <c r="D14" s="277"/>
    </row>
    <row r="15" spans="1:4" ht="18">
      <c r="A15" s="277" t="s">
        <v>263</v>
      </c>
      <c r="B15" s="277"/>
      <c r="C15" s="292"/>
      <c r="D15" s="277"/>
    </row>
    <row r="16" spans="1:4" ht="18">
      <c r="A16" s="355" t="s">
        <v>264</v>
      </c>
      <c r="B16" s="355"/>
      <c r="C16" s="288">
        <f>'Wydatki i inne wpływy'!H3</f>
        <v>13028.75</v>
      </c>
      <c r="D16" s="277"/>
    </row>
    <row r="17" spans="1:4" ht="18">
      <c r="A17" s="356" t="s">
        <v>265</v>
      </c>
      <c r="B17" s="356"/>
      <c r="C17" s="290">
        <f>'Wydatki i inne wpływy'!F3</f>
        <v>0</v>
      </c>
      <c r="D17" s="277"/>
    </row>
    <row r="18" spans="1:4" ht="18">
      <c r="A18" s="357" t="s">
        <v>266</v>
      </c>
      <c r="B18" s="357"/>
      <c r="C18" s="289"/>
      <c r="D18" s="277"/>
    </row>
    <row r="19" spans="1:4" ht="18">
      <c r="A19" s="277"/>
      <c r="B19" s="293" t="s">
        <v>267</v>
      </c>
      <c r="C19" s="290">
        <f>'Wydatki i inne wpływy'!B3+'Wydatki i inne wpływy'!D3</f>
        <v>18466.55</v>
      </c>
      <c r="D19" s="277"/>
    </row>
    <row r="20" spans="1:4" ht="18">
      <c r="A20" s="277"/>
      <c r="B20" s="283" t="s">
        <v>268</v>
      </c>
      <c r="C20" s="288">
        <f>'Wydatki i inne wpływy'!J3</f>
        <v>0</v>
      </c>
      <c r="D20" s="277"/>
    </row>
    <row r="21" spans="1:4" ht="18">
      <c r="A21" s="277"/>
      <c r="B21" s="279" t="s">
        <v>173</v>
      </c>
      <c r="C21" s="290">
        <f>SUM(C19:C20)</f>
        <v>18466.55</v>
      </c>
      <c r="D21" s="277"/>
    </row>
    <row r="22" spans="1:4" ht="18">
      <c r="A22" s="277"/>
      <c r="B22" s="277"/>
      <c r="C22" s="289"/>
      <c r="D22" s="277"/>
    </row>
    <row r="23" spans="1:4" ht="18">
      <c r="A23" s="277"/>
      <c r="B23" s="279" t="s">
        <v>173</v>
      </c>
      <c r="C23" s="290">
        <f>SUM(C16,C17,C21)</f>
        <v>31495.3</v>
      </c>
      <c r="D23" s="277"/>
    </row>
    <row r="24" spans="1:4" ht="18">
      <c r="A24" s="277"/>
      <c r="B24" s="277"/>
      <c r="C24" s="294"/>
      <c r="D24" s="277"/>
    </row>
    <row r="25" spans="1:5" ht="18">
      <c r="A25" s="277"/>
      <c r="B25" s="279" t="s">
        <v>269</v>
      </c>
      <c r="C25" s="295">
        <f>B13-C23</f>
        <v>85210.65</v>
      </c>
      <c r="D25" s="277"/>
      <c r="E25" s="296"/>
    </row>
    <row r="26" spans="1:4" ht="15">
      <c r="A26" s="276"/>
      <c r="B26" s="276"/>
      <c r="C26" s="276"/>
      <c r="D26" s="276"/>
    </row>
    <row r="27" spans="1:4" ht="18.75" customHeight="1">
      <c r="A27" s="276"/>
      <c r="B27" s="276"/>
      <c r="C27" s="276"/>
      <c r="D27" s="276"/>
    </row>
    <row r="28" spans="1:4" ht="15">
      <c r="A28" s="276"/>
      <c r="B28" s="276"/>
      <c r="C28" s="276"/>
      <c r="D28" s="276"/>
    </row>
    <row r="29" spans="1:4" ht="15">
      <c r="A29" s="276"/>
      <c r="B29" s="276"/>
      <c r="C29" s="276"/>
      <c r="D29" s="276"/>
    </row>
    <row r="30" spans="1:4" ht="15">
      <c r="A30" s="276"/>
      <c r="B30" s="276"/>
      <c r="C30" s="276"/>
      <c r="D30" s="276"/>
    </row>
    <row r="31" spans="1:4" ht="15">
      <c r="A31" s="276"/>
      <c r="B31" s="276"/>
      <c r="C31" s="276"/>
      <c r="D31" s="276"/>
    </row>
    <row r="32" spans="1:4" ht="15">
      <c r="A32" s="276"/>
      <c r="B32" s="276"/>
      <c r="C32" s="276"/>
      <c r="D32" s="276"/>
    </row>
    <row r="33" spans="1:4" ht="15">
      <c r="A33" s="276"/>
      <c r="B33" s="276"/>
      <c r="C33" s="276"/>
      <c r="D33" s="276"/>
    </row>
    <row r="34" spans="1:4" ht="15">
      <c r="A34" s="276"/>
      <c r="B34" s="276"/>
      <c r="C34" s="276"/>
      <c r="D34" s="276"/>
    </row>
    <row r="35" spans="1:4" ht="15">
      <c r="A35" s="276"/>
      <c r="B35" s="276"/>
      <c r="C35" s="276"/>
      <c r="D35" s="276"/>
    </row>
  </sheetData>
  <sheetProtection selectLockedCells="1" selectUnlockedCells="1"/>
  <mergeCells count="5">
    <mergeCell ref="A1:D1"/>
    <mergeCell ref="A2:D2"/>
    <mergeCell ref="A16:B16"/>
    <mergeCell ref="A17:B17"/>
    <mergeCell ref="A18:B18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PageLayoutView="0" workbookViewId="0" topLeftCell="A46">
      <selection activeCell="G75" sqref="G75"/>
    </sheetView>
  </sheetViews>
  <sheetFormatPr defaultColWidth="9.140625" defaultRowHeight="15"/>
  <cols>
    <col min="1" max="1" width="4.140625" style="297" customWidth="1"/>
    <col min="2" max="2" width="24.421875" style="0" customWidth="1"/>
    <col min="3" max="3" width="11.28125" style="298" customWidth="1"/>
  </cols>
  <sheetData>
    <row r="1" spans="1:3" ht="25.5">
      <c r="A1" s="358" t="s">
        <v>270</v>
      </c>
      <c r="B1" s="358"/>
      <c r="C1" s="358"/>
    </row>
    <row r="2" spans="1:3" ht="21">
      <c r="A2" s="359" t="s">
        <v>271</v>
      </c>
      <c r="B2" s="359"/>
      <c r="C2" s="359"/>
    </row>
    <row r="3" spans="1:4" ht="36" customHeight="1">
      <c r="A3" s="299"/>
      <c r="B3" s="300" t="s">
        <v>272</v>
      </c>
      <c r="C3" s="299" t="s">
        <v>273</v>
      </c>
      <c r="D3" s="299" t="s">
        <v>274</v>
      </c>
    </row>
    <row r="4" spans="1:4" s="303" customFormat="1" ht="15">
      <c r="A4" s="297">
        <v>1</v>
      </c>
      <c r="B4" s="301" t="s">
        <v>275</v>
      </c>
      <c r="C4" s="298">
        <f>48+45+95+188+75+302+928</f>
        <v>1681</v>
      </c>
      <c r="D4" s="302">
        <f aca="true" t="shared" si="0" ref="D4:D35">C4/13</f>
        <v>129.30769230769232</v>
      </c>
    </row>
    <row r="5" spans="1:4" s="303" customFormat="1" ht="15">
      <c r="A5" s="297">
        <v>2</v>
      </c>
      <c r="B5" s="301" t="s">
        <v>276</v>
      </c>
      <c r="C5" s="298">
        <f>108+28+3+136+576+8+20+100+128+35+60</f>
        <v>1202</v>
      </c>
      <c r="D5" s="302">
        <f t="shared" si="0"/>
        <v>92.46153846153847</v>
      </c>
    </row>
    <row r="6" spans="1:4" s="303" customFormat="1" ht="14.25">
      <c r="A6" s="297">
        <v>3</v>
      </c>
      <c r="B6" s="304" t="s">
        <v>51</v>
      </c>
      <c r="C6" s="298">
        <f>18+799+168</f>
        <v>985</v>
      </c>
      <c r="D6" s="302">
        <f t="shared" si="0"/>
        <v>75.76923076923077</v>
      </c>
    </row>
    <row r="7" spans="1:4" s="303" customFormat="1" ht="15">
      <c r="A7" s="297">
        <v>4</v>
      </c>
      <c r="B7" s="301" t="s">
        <v>277</v>
      </c>
      <c r="C7" s="298">
        <f>40+108+224+75+388+54+34+60</f>
        <v>983</v>
      </c>
      <c r="D7" s="302">
        <f t="shared" si="0"/>
        <v>75.61538461538461</v>
      </c>
    </row>
    <row r="8" spans="1:4" s="303" customFormat="1" ht="15">
      <c r="A8" s="297">
        <v>5</v>
      </c>
      <c r="B8" s="301" t="s">
        <v>278</v>
      </c>
      <c r="C8" s="298">
        <f>200+780</f>
        <v>980</v>
      </c>
      <c r="D8" s="302">
        <f t="shared" si="0"/>
        <v>75.38461538461539</v>
      </c>
    </row>
    <row r="9" spans="1:4" s="303" customFormat="1" ht="15">
      <c r="A9" s="297">
        <v>6</v>
      </c>
      <c r="B9" s="301" t="s">
        <v>279</v>
      </c>
      <c r="C9" s="298">
        <f>120+48+24+15+600+60</f>
        <v>867</v>
      </c>
      <c r="D9" s="302">
        <f t="shared" si="0"/>
        <v>66.6923076923077</v>
      </c>
    </row>
    <row r="10" spans="1:4" s="303" customFormat="1" ht="15">
      <c r="A10" s="297">
        <v>7</v>
      </c>
      <c r="B10" s="301" t="s">
        <v>280</v>
      </c>
      <c r="C10" s="298">
        <f>740+125</f>
        <v>865</v>
      </c>
      <c r="D10" s="302">
        <f t="shared" si="0"/>
        <v>66.53846153846153</v>
      </c>
    </row>
    <row r="11" spans="1:4" s="303" customFormat="1" ht="15">
      <c r="A11" s="297">
        <v>8</v>
      </c>
      <c r="B11" s="301" t="s">
        <v>281</v>
      </c>
      <c r="C11" s="298">
        <f>30+20+784+16</f>
        <v>850</v>
      </c>
      <c r="D11" s="302">
        <f t="shared" si="0"/>
        <v>65.38461538461539</v>
      </c>
    </row>
    <row r="12" spans="1:4" s="303" customFormat="1" ht="15">
      <c r="A12" s="297">
        <v>9</v>
      </c>
      <c r="B12" s="301" t="s">
        <v>282</v>
      </c>
      <c r="C12" s="298">
        <f>44+88+16+433+128+48+22+6+64</f>
        <v>849</v>
      </c>
      <c r="D12" s="302">
        <f t="shared" si="0"/>
        <v>65.3076923076923</v>
      </c>
    </row>
    <row r="13" spans="1:4" s="303" customFormat="1" ht="15">
      <c r="A13" s="297">
        <v>10</v>
      </c>
      <c r="B13" s="301" t="s">
        <v>85</v>
      </c>
      <c r="C13" s="298">
        <f>180+10+30+303+17+280</f>
        <v>820</v>
      </c>
      <c r="D13" s="302">
        <f t="shared" si="0"/>
        <v>63.07692307692308</v>
      </c>
    </row>
    <row r="14" spans="1:4" s="303" customFormat="1" ht="14.25">
      <c r="A14" s="297">
        <v>11</v>
      </c>
      <c r="B14" s="304" t="s">
        <v>283</v>
      </c>
      <c r="C14" s="298">
        <f>92+11+20+12+452+83+46+98</f>
        <v>814</v>
      </c>
      <c r="D14" s="302">
        <f t="shared" si="0"/>
        <v>62.61538461538461</v>
      </c>
    </row>
    <row r="15" spans="1:4" s="303" customFormat="1" ht="14.25">
      <c r="A15" s="297">
        <v>12</v>
      </c>
      <c r="B15" s="304" t="s">
        <v>284</v>
      </c>
      <c r="C15" s="298">
        <f>96+8+48+27+210+236+130</f>
        <v>755</v>
      </c>
      <c r="D15" s="302">
        <f t="shared" si="0"/>
        <v>58.07692307692308</v>
      </c>
    </row>
    <row r="16" spans="1:4" s="303" customFormat="1" ht="14.25">
      <c r="A16" s="297">
        <v>13</v>
      </c>
      <c r="B16" s="304" t="s">
        <v>285</v>
      </c>
      <c r="C16" s="298">
        <f>236+480+22</f>
        <v>738</v>
      </c>
      <c r="D16" s="302">
        <f t="shared" si="0"/>
        <v>56.76923076923077</v>
      </c>
    </row>
    <row r="17" spans="1:4" s="303" customFormat="1" ht="15">
      <c r="A17" s="297">
        <v>14</v>
      </c>
      <c r="B17" s="301" t="s">
        <v>286</v>
      </c>
      <c r="C17" s="298">
        <f>200+28+96+369</f>
        <v>693</v>
      </c>
      <c r="D17" s="302">
        <f t="shared" si="0"/>
        <v>53.30769230769231</v>
      </c>
    </row>
    <row r="18" spans="1:4" s="303" customFormat="1" ht="15">
      <c r="A18" s="297">
        <v>15</v>
      </c>
      <c r="B18" s="301" t="s">
        <v>287</v>
      </c>
      <c r="C18" s="298">
        <f>416+240</f>
        <v>656</v>
      </c>
      <c r="D18" s="302">
        <f t="shared" si="0"/>
        <v>50.46153846153846</v>
      </c>
    </row>
    <row r="19" spans="1:4" s="303" customFormat="1" ht="14.25">
      <c r="A19" s="297">
        <v>16</v>
      </c>
      <c r="B19" s="304" t="s">
        <v>288</v>
      </c>
      <c r="C19" s="298">
        <f>20+480+140</f>
        <v>640</v>
      </c>
      <c r="D19" s="302">
        <f t="shared" si="0"/>
        <v>49.23076923076923</v>
      </c>
    </row>
    <row r="20" spans="1:4" s="303" customFormat="1" ht="15">
      <c r="A20" s="297">
        <v>17</v>
      </c>
      <c r="B20" s="301" t="s">
        <v>289</v>
      </c>
      <c r="C20" s="298">
        <f>52+56+57+234+26+45+163</f>
        <v>633</v>
      </c>
      <c r="D20" s="302">
        <f t="shared" si="0"/>
        <v>48.69230769230769</v>
      </c>
    </row>
    <row r="21" spans="1:4" s="303" customFormat="1" ht="15">
      <c r="A21" s="297">
        <v>18</v>
      </c>
      <c r="B21" s="301" t="s">
        <v>97</v>
      </c>
      <c r="C21" s="298">
        <f>10+38+27+78+60+16+56+10+66+222</f>
        <v>583</v>
      </c>
      <c r="D21" s="302">
        <f t="shared" si="0"/>
        <v>44.84615384615385</v>
      </c>
    </row>
    <row r="22" spans="1:4" s="303" customFormat="1" ht="15">
      <c r="A22" s="297">
        <v>19</v>
      </c>
      <c r="B22" s="301" t="s">
        <v>290</v>
      </c>
      <c r="C22" s="298">
        <f>216+25+16+318</f>
        <v>575</v>
      </c>
      <c r="D22" s="302">
        <f t="shared" si="0"/>
        <v>44.23076923076923</v>
      </c>
    </row>
    <row r="23" spans="1:4" s="303" customFormat="1" ht="14.25">
      <c r="A23" s="297">
        <v>20</v>
      </c>
      <c r="B23" s="304" t="s">
        <v>291</v>
      </c>
      <c r="C23" s="298">
        <f>40+240+45+24+96+112</f>
        <v>557</v>
      </c>
      <c r="D23" s="302">
        <f t="shared" si="0"/>
        <v>42.84615384615385</v>
      </c>
    </row>
    <row r="24" spans="1:4" s="303" customFormat="1" ht="14.25">
      <c r="A24" s="297">
        <v>21</v>
      </c>
      <c r="B24" s="304" t="s">
        <v>292</v>
      </c>
      <c r="C24" s="298">
        <f>50+23+420+4+30+10</f>
        <v>537</v>
      </c>
      <c r="D24" s="302">
        <f t="shared" si="0"/>
        <v>41.30769230769231</v>
      </c>
    </row>
    <row r="25" spans="1:4" s="303" customFormat="1" ht="15">
      <c r="A25" s="297">
        <v>22</v>
      </c>
      <c r="B25" s="301" t="s">
        <v>293</v>
      </c>
      <c r="C25" s="298">
        <f>240+154+102+21+16</f>
        <v>533</v>
      </c>
      <c r="D25" s="302">
        <f t="shared" si="0"/>
        <v>41</v>
      </c>
    </row>
    <row r="26" spans="1:4" s="303" customFormat="1" ht="15">
      <c r="A26" s="297">
        <v>23</v>
      </c>
      <c r="B26" s="301" t="s">
        <v>294</v>
      </c>
      <c r="C26" s="298">
        <v>520</v>
      </c>
      <c r="D26" s="302">
        <f t="shared" si="0"/>
        <v>40</v>
      </c>
    </row>
    <row r="27" spans="1:4" s="303" customFormat="1" ht="15">
      <c r="A27" s="297">
        <v>24</v>
      </c>
      <c r="B27" s="301" t="s">
        <v>295</v>
      </c>
      <c r="C27" s="298">
        <f>56+104+26+56+19+82+50+95</f>
        <v>488</v>
      </c>
      <c r="D27" s="302">
        <f t="shared" si="0"/>
        <v>37.53846153846154</v>
      </c>
    </row>
    <row r="28" spans="1:4" s="303" customFormat="1" ht="14.25">
      <c r="A28" s="297">
        <v>25</v>
      </c>
      <c r="B28" s="304" t="s">
        <v>296</v>
      </c>
      <c r="C28" s="298">
        <v>440</v>
      </c>
      <c r="D28" s="302">
        <f t="shared" si="0"/>
        <v>33.84615384615385</v>
      </c>
    </row>
    <row r="29" spans="1:4" s="303" customFormat="1" ht="14.25">
      <c r="A29" s="297">
        <v>26</v>
      </c>
      <c r="B29" s="304" t="s">
        <v>297</v>
      </c>
      <c r="C29" s="298">
        <f>20+315+99</f>
        <v>434</v>
      </c>
      <c r="D29" s="302">
        <f t="shared" si="0"/>
        <v>33.38461538461539</v>
      </c>
    </row>
    <row r="30" spans="1:4" s="303" customFormat="1" ht="14.25">
      <c r="A30" s="297">
        <v>27</v>
      </c>
      <c r="B30" s="304" t="s">
        <v>298</v>
      </c>
      <c r="C30" s="298">
        <f>360+50</f>
        <v>410</v>
      </c>
      <c r="D30" s="302">
        <f t="shared" si="0"/>
        <v>31.53846153846154</v>
      </c>
    </row>
    <row r="31" spans="1:4" s="303" customFormat="1" ht="14.25">
      <c r="A31" s="297">
        <v>28</v>
      </c>
      <c r="B31" s="304" t="s">
        <v>57</v>
      </c>
      <c r="C31" s="298">
        <f>43+357</f>
        <v>400</v>
      </c>
      <c r="D31" s="302">
        <f t="shared" si="0"/>
        <v>30.76923076923077</v>
      </c>
    </row>
    <row r="32" spans="1:4" s="303" customFormat="1" ht="15">
      <c r="A32" s="297">
        <v>29</v>
      </c>
      <c r="B32" s="301" t="s">
        <v>299</v>
      </c>
      <c r="C32" s="298">
        <v>400</v>
      </c>
      <c r="D32" s="302">
        <f t="shared" si="0"/>
        <v>30.76923076923077</v>
      </c>
    </row>
    <row r="33" spans="1:4" s="303" customFormat="1" ht="14.25">
      <c r="A33" s="297">
        <v>30</v>
      </c>
      <c r="B33" s="304" t="s">
        <v>300</v>
      </c>
      <c r="C33" s="298">
        <f>50+80+30+40+24+165</f>
        <v>389</v>
      </c>
      <c r="D33" s="302">
        <f t="shared" si="0"/>
        <v>29.923076923076923</v>
      </c>
    </row>
    <row r="34" spans="1:4" s="303" customFormat="1" ht="15">
      <c r="A34" s="297">
        <v>31</v>
      </c>
      <c r="B34" s="301" t="s">
        <v>301</v>
      </c>
      <c r="C34" s="298">
        <f>233+44+87</f>
        <v>364</v>
      </c>
      <c r="D34" s="302">
        <f t="shared" si="0"/>
        <v>28</v>
      </c>
    </row>
    <row r="35" spans="1:4" s="303" customFormat="1" ht="15">
      <c r="A35" s="297">
        <v>32</v>
      </c>
      <c r="B35" s="301" t="s">
        <v>302</v>
      </c>
      <c r="C35" s="298">
        <f>14+162+10+152</f>
        <v>338</v>
      </c>
      <c r="D35" s="302">
        <f t="shared" si="0"/>
        <v>26</v>
      </c>
    </row>
    <row r="36" spans="1:4" s="303" customFormat="1" ht="15">
      <c r="A36" s="297">
        <v>33</v>
      </c>
      <c r="B36" s="301" t="s">
        <v>303</v>
      </c>
      <c r="C36" s="298">
        <f>164+120+4</f>
        <v>288</v>
      </c>
      <c r="D36" s="302">
        <f aca="true" t="shared" si="1" ref="D36:D67">C36/13</f>
        <v>22.153846153846153</v>
      </c>
    </row>
    <row r="37" spans="1:4" s="303" customFormat="1" ht="14.25">
      <c r="A37" s="297">
        <v>34</v>
      </c>
      <c r="B37" s="304" t="s">
        <v>304</v>
      </c>
      <c r="C37" s="298">
        <f>20+104+100</f>
        <v>224</v>
      </c>
      <c r="D37" s="302">
        <f t="shared" si="1"/>
        <v>17.23076923076923</v>
      </c>
    </row>
    <row r="38" spans="1:4" s="303" customFormat="1" ht="15">
      <c r="A38" s="297">
        <v>35</v>
      </c>
      <c r="B38" s="301" t="s">
        <v>43</v>
      </c>
      <c r="C38" s="298">
        <v>220</v>
      </c>
      <c r="D38" s="302">
        <f t="shared" si="1"/>
        <v>16.923076923076923</v>
      </c>
    </row>
    <row r="39" spans="1:4" s="303" customFormat="1" ht="15">
      <c r="A39" s="297">
        <v>36</v>
      </c>
      <c r="B39" s="301" t="s">
        <v>53</v>
      </c>
      <c r="C39" s="298">
        <f>40+178</f>
        <v>218</v>
      </c>
      <c r="D39" s="302">
        <f t="shared" si="1"/>
        <v>16.76923076923077</v>
      </c>
    </row>
    <row r="40" spans="1:4" s="303" customFormat="1" ht="15">
      <c r="A40" s="297">
        <v>37</v>
      </c>
      <c r="B40" s="301" t="s">
        <v>305</v>
      </c>
      <c r="C40" s="298">
        <f>43+29+5+10+124</f>
        <v>211</v>
      </c>
      <c r="D40" s="302">
        <f t="shared" si="1"/>
        <v>16.23076923076923</v>
      </c>
    </row>
    <row r="41" spans="1:4" s="303" customFormat="1" ht="15">
      <c r="A41" s="297">
        <v>38</v>
      </c>
      <c r="B41" s="301" t="s">
        <v>107</v>
      </c>
      <c r="C41" s="298">
        <f>48+5+156</f>
        <v>209</v>
      </c>
      <c r="D41" s="302">
        <f t="shared" si="1"/>
        <v>16.076923076923077</v>
      </c>
    </row>
    <row r="42" spans="1:4" s="303" customFormat="1" ht="14.25">
      <c r="A42" s="297">
        <v>39</v>
      </c>
      <c r="B42" s="304" t="s">
        <v>306</v>
      </c>
      <c r="C42" s="298">
        <f>175+30</f>
        <v>205</v>
      </c>
      <c r="D42" s="302">
        <f t="shared" si="1"/>
        <v>15.76923076923077</v>
      </c>
    </row>
    <row r="43" spans="1:4" s="303" customFormat="1" ht="15">
      <c r="A43" s="297">
        <v>40</v>
      </c>
      <c r="B43" s="301" t="s">
        <v>307</v>
      </c>
      <c r="C43" s="298">
        <f>22+6+32+50+16+60+7</f>
        <v>193</v>
      </c>
      <c r="D43" s="302">
        <f t="shared" si="1"/>
        <v>14.846153846153847</v>
      </c>
    </row>
    <row r="44" spans="1:4" s="303" customFormat="1" ht="15">
      <c r="A44" s="297">
        <v>41</v>
      </c>
      <c r="B44" s="301" t="s">
        <v>61</v>
      </c>
      <c r="C44" s="298">
        <f>48+144</f>
        <v>192</v>
      </c>
      <c r="D44" s="302">
        <f t="shared" si="1"/>
        <v>14.76923076923077</v>
      </c>
    </row>
    <row r="45" spans="1:4" s="303" customFormat="1" ht="15">
      <c r="A45" s="297">
        <v>42</v>
      </c>
      <c r="B45" s="301" t="s">
        <v>59</v>
      </c>
      <c r="C45" s="298">
        <f>38+80+41+24</f>
        <v>183</v>
      </c>
      <c r="D45" s="302">
        <f t="shared" si="1"/>
        <v>14.076923076923077</v>
      </c>
    </row>
    <row r="46" spans="1:4" s="303" customFormat="1" ht="15">
      <c r="A46" s="297">
        <v>43</v>
      </c>
      <c r="B46" s="301" t="s">
        <v>45</v>
      </c>
      <c r="C46" s="298">
        <f>100+24+48</f>
        <v>172</v>
      </c>
      <c r="D46" s="302">
        <f t="shared" si="1"/>
        <v>13.23076923076923</v>
      </c>
    </row>
    <row r="47" spans="1:4" s="303" customFormat="1" ht="14.25">
      <c r="A47" s="297">
        <v>44</v>
      </c>
      <c r="B47" s="304" t="s">
        <v>308</v>
      </c>
      <c r="C47" s="298">
        <f>120+42</f>
        <v>162</v>
      </c>
      <c r="D47" s="302">
        <f t="shared" si="1"/>
        <v>12.461538461538462</v>
      </c>
    </row>
    <row r="48" spans="1:4" s="303" customFormat="1" ht="14.25">
      <c r="A48" s="297">
        <v>45</v>
      </c>
      <c r="B48" s="304" t="s">
        <v>309</v>
      </c>
      <c r="C48" s="298">
        <v>160</v>
      </c>
      <c r="D48" s="302">
        <f t="shared" si="1"/>
        <v>12.307692307692308</v>
      </c>
    </row>
    <row r="49" spans="1:4" s="303" customFormat="1" ht="14.25">
      <c r="A49" s="297">
        <v>46</v>
      </c>
      <c r="B49" s="304" t="s">
        <v>310</v>
      </c>
      <c r="C49" s="298">
        <f>117+40</f>
        <v>157</v>
      </c>
      <c r="D49" s="302">
        <f t="shared" si="1"/>
        <v>12.076923076923077</v>
      </c>
    </row>
    <row r="50" spans="1:4" s="303" customFormat="1" ht="14.25">
      <c r="A50" s="297">
        <v>47</v>
      </c>
      <c r="B50" s="304" t="s">
        <v>63</v>
      </c>
      <c r="C50" s="298">
        <f>150</f>
        <v>150</v>
      </c>
      <c r="D50" s="302">
        <f t="shared" si="1"/>
        <v>11.538461538461538</v>
      </c>
    </row>
    <row r="51" spans="1:4" s="303" customFormat="1" ht="15">
      <c r="A51" s="297">
        <v>48</v>
      </c>
      <c r="B51" s="301" t="s">
        <v>311</v>
      </c>
      <c r="C51" s="298">
        <f>90+50</f>
        <v>140</v>
      </c>
      <c r="D51" s="302">
        <f t="shared" si="1"/>
        <v>10.76923076923077</v>
      </c>
    </row>
    <row r="52" spans="1:4" s="303" customFormat="1" ht="14.25">
      <c r="A52" s="297">
        <v>49</v>
      </c>
      <c r="B52" s="304" t="s">
        <v>312</v>
      </c>
      <c r="C52" s="298">
        <v>140</v>
      </c>
      <c r="D52" s="302">
        <f t="shared" si="1"/>
        <v>10.76923076923077</v>
      </c>
    </row>
    <row r="53" spans="1:4" s="303" customFormat="1" ht="15">
      <c r="A53" s="297">
        <v>50</v>
      </c>
      <c r="B53" s="301" t="s">
        <v>313</v>
      </c>
      <c r="C53" s="298">
        <f>21+30+42+14+26</f>
        <v>133</v>
      </c>
      <c r="D53" s="302">
        <f t="shared" si="1"/>
        <v>10.23076923076923</v>
      </c>
    </row>
    <row r="54" spans="1:4" s="303" customFormat="1" ht="15">
      <c r="A54" s="297">
        <v>51</v>
      </c>
      <c r="B54" s="301" t="s">
        <v>314</v>
      </c>
      <c r="C54" s="298">
        <f>18+6+26+80</f>
        <v>130</v>
      </c>
      <c r="D54" s="302">
        <f t="shared" si="1"/>
        <v>10</v>
      </c>
    </row>
    <row r="55" spans="1:4" s="303" customFormat="1" ht="14.25">
      <c r="A55" s="297">
        <v>52</v>
      </c>
      <c r="B55" s="304" t="s">
        <v>315</v>
      </c>
      <c r="C55" s="298">
        <f>16+48+64</f>
        <v>128</v>
      </c>
      <c r="D55" s="302">
        <f t="shared" si="1"/>
        <v>9.846153846153847</v>
      </c>
    </row>
    <row r="56" spans="1:4" s="303" customFormat="1" ht="14.25">
      <c r="A56" s="297">
        <v>53</v>
      </c>
      <c r="B56" s="304" t="s">
        <v>316</v>
      </c>
      <c r="C56" s="298">
        <f>75+48</f>
        <v>123</v>
      </c>
      <c r="D56" s="302">
        <f t="shared" si="1"/>
        <v>9.461538461538462</v>
      </c>
    </row>
    <row r="57" spans="1:4" s="303" customFormat="1" ht="14.25">
      <c r="A57" s="297">
        <v>54</v>
      </c>
      <c r="B57" s="304" t="s">
        <v>317</v>
      </c>
      <c r="C57" s="298">
        <v>100</v>
      </c>
      <c r="D57" s="302">
        <f t="shared" si="1"/>
        <v>7.6923076923076925</v>
      </c>
    </row>
    <row r="58" spans="1:4" s="303" customFormat="1" ht="15">
      <c r="A58" s="297">
        <v>55</v>
      </c>
      <c r="B58" s="301" t="s">
        <v>318</v>
      </c>
      <c r="C58" s="298">
        <f>82+16</f>
        <v>98</v>
      </c>
      <c r="D58" s="302">
        <f t="shared" si="1"/>
        <v>7.538461538461538</v>
      </c>
    </row>
    <row r="59" spans="1:4" s="303" customFormat="1" ht="15">
      <c r="A59" s="297">
        <v>56</v>
      </c>
      <c r="B59" s="301" t="s">
        <v>319</v>
      </c>
      <c r="C59" s="298">
        <f>24+70</f>
        <v>94</v>
      </c>
      <c r="D59" s="302">
        <f t="shared" si="1"/>
        <v>7.230769230769231</v>
      </c>
    </row>
    <row r="60" spans="1:4" s="303" customFormat="1" ht="15">
      <c r="A60" s="297">
        <v>57</v>
      </c>
      <c r="B60" s="301" t="s">
        <v>33</v>
      </c>
      <c r="C60" s="298">
        <f>80+12</f>
        <v>92</v>
      </c>
      <c r="D60" s="302">
        <f t="shared" si="1"/>
        <v>7.076923076923077</v>
      </c>
    </row>
    <row r="61" spans="1:4" s="303" customFormat="1" ht="15">
      <c r="A61" s="297">
        <v>58</v>
      </c>
      <c r="B61" s="301" t="s">
        <v>37</v>
      </c>
      <c r="C61" s="298">
        <v>86</v>
      </c>
      <c r="D61" s="302">
        <f t="shared" si="1"/>
        <v>6.615384615384615</v>
      </c>
    </row>
    <row r="62" spans="1:4" s="303" customFormat="1" ht="15">
      <c r="A62" s="297">
        <v>59</v>
      </c>
      <c r="B62" s="301" t="s">
        <v>75</v>
      </c>
      <c r="C62" s="298">
        <f>10+72</f>
        <v>82</v>
      </c>
      <c r="D62" s="302">
        <f t="shared" si="1"/>
        <v>6.3076923076923075</v>
      </c>
    </row>
    <row r="63" spans="1:4" s="303" customFormat="1" ht="15">
      <c r="A63" s="297">
        <v>60</v>
      </c>
      <c r="B63" s="301" t="s">
        <v>39</v>
      </c>
      <c r="C63" s="298">
        <v>80</v>
      </c>
      <c r="D63" s="302">
        <f t="shared" si="1"/>
        <v>6.153846153846154</v>
      </c>
    </row>
    <row r="64" spans="1:4" s="303" customFormat="1" ht="15">
      <c r="A64" s="297">
        <v>61</v>
      </c>
      <c r="B64" s="301" t="s">
        <v>49</v>
      </c>
      <c r="C64" s="298">
        <f>11+22+44</f>
        <v>77</v>
      </c>
      <c r="D64" s="302">
        <f t="shared" si="1"/>
        <v>5.923076923076923</v>
      </c>
    </row>
    <row r="65" spans="1:4" s="303" customFormat="1" ht="14.25">
      <c r="A65" s="297">
        <v>62</v>
      </c>
      <c r="B65" s="304" t="s">
        <v>320</v>
      </c>
      <c r="C65" s="298">
        <v>75</v>
      </c>
      <c r="D65" s="302">
        <f t="shared" si="1"/>
        <v>5.769230769230769</v>
      </c>
    </row>
    <row r="66" spans="1:4" s="303" customFormat="1" ht="14.25">
      <c r="A66" s="297">
        <v>63</v>
      </c>
      <c r="B66" s="304" t="s">
        <v>55</v>
      </c>
      <c r="C66" s="298">
        <v>66</v>
      </c>
      <c r="D66" s="302">
        <f t="shared" si="1"/>
        <v>5.076923076923077</v>
      </c>
    </row>
    <row r="67" spans="1:4" s="303" customFormat="1" ht="14.25">
      <c r="A67" s="297">
        <v>64</v>
      </c>
      <c r="B67" s="304" t="s">
        <v>321</v>
      </c>
      <c r="C67" s="298">
        <v>64</v>
      </c>
      <c r="D67" s="302">
        <f t="shared" si="1"/>
        <v>4.923076923076923</v>
      </c>
    </row>
    <row r="68" spans="1:4" s="303" customFormat="1" ht="15">
      <c r="A68" s="297">
        <v>65</v>
      </c>
      <c r="B68" s="301" t="s">
        <v>322</v>
      </c>
      <c r="C68" s="298">
        <v>40</v>
      </c>
      <c r="D68" s="302">
        <f>C68/13</f>
        <v>3.076923076923077</v>
      </c>
    </row>
    <row r="69" spans="1:4" s="303" customFormat="1" ht="15">
      <c r="A69" s="297">
        <v>66</v>
      </c>
      <c r="B69" s="301" t="s">
        <v>117</v>
      </c>
      <c r="C69" s="298">
        <v>40</v>
      </c>
      <c r="D69" s="302">
        <f>C69/13</f>
        <v>3.076923076923077</v>
      </c>
    </row>
    <row r="70" spans="1:4" s="303" customFormat="1" ht="14.25">
      <c r="A70" s="297">
        <v>67</v>
      </c>
      <c r="B70" s="304" t="s">
        <v>323</v>
      </c>
      <c r="C70" s="298">
        <v>36</v>
      </c>
      <c r="D70" s="302">
        <f>C70/13</f>
        <v>2.769230769230769</v>
      </c>
    </row>
    <row r="71" spans="1:4" s="303" customFormat="1" ht="14.25">
      <c r="A71" s="297">
        <v>68</v>
      </c>
      <c r="B71" s="304" t="s">
        <v>324</v>
      </c>
      <c r="C71" s="298">
        <v>30</v>
      </c>
      <c r="D71" s="302">
        <f>C71/13</f>
        <v>2.3076923076923075</v>
      </c>
    </row>
    <row r="72" spans="1:4" s="303" customFormat="1" ht="15">
      <c r="A72" s="297">
        <v>69</v>
      </c>
      <c r="B72" s="301" t="s">
        <v>325</v>
      </c>
      <c r="C72" s="298">
        <f>5+20</f>
        <v>25</v>
      </c>
      <c r="D72" s="302">
        <f>C72/13</f>
        <v>1.9230769230769231</v>
      </c>
    </row>
    <row r="73" spans="1:4" ht="14.25">
      <c r="A73" s="297">
        <v>70</v>
      </c>
      <c r="B73" s="304" t="s">
        <v>326</v>
      </c>
      <c r="C73" s="298">
        <v>24</v>
      </c>
      <c r="D73" s="302">
        <f>C73/13</f>
        <v>1.8461538461538463</v>
      </c>
    </row>
    <row r="74" spans="1:4" ht="14.25">
      <c r="A74" s="297">
        <v>71</v>
      </c>
      <c r="B74" s="304" t="s">
        <v>327</v>
      </c>
      <c r="C74" s="298">
        <v>23</v>
      </c>
      <c r="D74" s="302">
        <f>C74/13</f>
        <v>1.7692307692307692</v>
      </c>
    </row>
    <row r="75" spans="1:4" ht="15">
      <c r="A75" s="297">
        <v>72</v>
      </c>
      <c r="B75" s="301" t="s">
        <v>328</v>
      </c>
      <c r="C75" s="298">
        <v>8</v>
      </c>
      <c r="D75" s="302">
        <f>C75/13</f>
        <v>0.6153846153846154</v>
      </c>
    </row>
    <row r="76" spans="1:4" ht="14.25">
      <c r="A76" s="297">
        <v>73</v>
      </c>
      <c r="B76" s="304" t="s">
        <v>329</v>
      </c>
      <c r="C76" s="298">
        <v>2</v>
      </c>
      <c r="D76" s="302">
        <f>C76/13</f>
        <v>0.15384615384615385</v>
      </c>
    </row>
    <row r="78" spans="2:3" ht="14.25">
      <c r="B78" s="305" t="s">
        <v>125</v>
      </c>
      <c r="C78" s="306">
        <f>SUM(C4:C76)</f>
        <v>26859</v>
      </c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"/>
  <sheetViews>
    <sheetView zoomScalePageLayoutView="0" workbookViewId="0" topLeftCell="A1">
      <selection activeCell="I9" sqref="I9"/>
    </sheetView>
  </sheetViews>
  <sheetFormatPr defaultColWidth="9.140625" defaultRowHeight="15"/>
  <sheetData>
    <row r="3" spans="4:7" ht="14.25">
      <c r="D3" t="s">
        <v>2</v>
      </c>
      <c r="E3" t="s">
        <v>3</v>
      </c>
      <c r="F3" t="s">
        <v>4</v>
      </c>
      <c r="G3" t="s">
        <v>5</v>
      </c>
    </row>
    <row r="4" spans="4:7" ht="14.25">
      <c r="D4">
        <v>47</v>
      </c>
      <c r="E4">
        <v>1077</v>
      </c>
      <c r="F4">
        <v>10</v>
      </c>
      <c r="G4">
        <v>0.08</v>
      </c>
    </row>
    <row r="5" spans="3:9" ht="14.25">
      <c r="C5" t="s">
        <v>6</v>
      </c>
      <c r="E5" s="5">
        <f>E4/D4</f>
        <v>22.914893617021278</v>
      </c>
      <c r="F5" s="5">
        <f>F4/D4</f>
        <v>0.2127659574468085</v>
      </c>
      <c r="I5" t="s">
        <v>7</v>
      </c>
    </row>
    <row r="6" spans="2:9" ht="14.25">
      <c r="B6" t="s">
        <v>8</v>
      </c>
      <c r="I6">
        <v>25000</v>
      </c>
    </row>
    <row r="7" spans="3:9" ht="14.25">
      <c r="C7" t="s">
        <v>9</v>
      </c>
      <c r="D7">
        <v>16</v>
      </c>
      <c r="E7" s="5">
        <f>D7*E5</f>
        <v>366.63829787234044</v>
      </c>
      <c r="I7" s="5">
        <f>E7+((I6/500)*10)+(I6*G4)</f>
        <v>2866.6382978723404</v>
      </c>
    </row>
    <row r="8" spans="3:9" ht="14.25">
      <c r="C8" t="s">
        <v>10</v>
      </c>
      <c r="D8">
        <v>31</v>
      </c>
      <c r="E8" s="5">
        <f>D8*E5</f>
        <v>710.3617021276596</v>
      </c>
      <c r="F8" s="5">
        <f>D8*F4</f>
        <v>310</v>
      </c>
      <c r="G8" s="5">
        <f>D8*G4</f>
        <v>2.48</v>
      </c>
      <c r="I8" s="5">
        <f>E8+((I6/500)*10)+(I7*G4)</f>
        <v>1439.6927659574467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16">
      <selection activeCell="B12" sqref="B12"/>
    </sheetView>
  </sheetViews>
  <sheetFormatPr defaultColWidth="9.140625" defaultRowHeight="15"/>
  <cols>
    <col min="1" max="1" width="9.140625" style="6" customWidth="1"/>
    <col min="2" max="2" width="42.28125" style="6" customWidth="1"/>
    <col min="3" max="3" width="6.140625" style="6" customWidth="1"/>
    <col min="4" max="4" width="5.140625" style="6" customWidth="1"/>
    <col min="5" max="5" width="9.00390625" style="6" customWidth="1"/>
    <col min="6" max="15" width="9.00390625" style="7" customWidth="1"/>
    <col min="16" max="19" width="9.00390625" style="6" customWidth="1"/>
    <col min="20" max="20" width="6.7109375" style="6" customWidth="1"/>
    <col min="21" max="21" width="23.8515625" style="6" customWidth="1"/>
    <col min="22" max="16384" width="9.140625" style="6" customWidth="1"/>
  </cols>
  <sheetData>
    <row r="1" spans="2:21" ht="53.25" customHeight="1">
      <c r="B1" s="310" t="s">
        <v>11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8"/>
      <c r="Q1" s="8"/>
      <c r="R1" s="8"/>
      <c r="S1" s="8"/>
      <c r="T1" s="8"/>
      <c r="U1" s="9"/>
    </row>
    <row r="2" spans="2:21" ht="14.25">
      <c r="B2" s="10" t="s">
        <v>12</v>
      </c>
      <c r="C2" s="311">
        <f>Wstęp!E21</f>
        <v>44242</v>
      </c>
      <c r="D2" s="311"/>
      <c r="E2" s="311"/>
      <c r="F2" s="311"/>
      <c r="G2" s="311"/>
      <c r="H2" s="311"/>
      <c r="I2" s="311"/>
      <c r="J2" s="3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ht="84.75" customHeight="1">
      <c r="B3" s="12" t="s">
        <v>13</v>
      </c>
      <c r="C3" s="13" t="s">
        <v>14</v>
      </c>
      <c r="D3" s="14" t="s">
        <v>15</v>
      </c>
      <c r="E3" s="15" t="s">
        <v>16</v>
      </c>
      <c r="F3" s="16" t="s">
        <v>17</v>
      </c>
      <c r="G3" s="17" t="s">
        <v>18</v>
      </c>
      <c r="H3" s="16" t="s">
        <v>19</v>
      </c>
      <c r="I3" s="17" t="s">
        <v>20</v>
      </c>
      <c r="J3" s="16" t="s">
        <v>21</v>
      </c>
      <c r="K3" s="17" t="s">
        <v>22</v>
      </c>
      <c r="L3" s="16" t="s">
        <v>23</v>
      </c>
      <c r="M3" s="17" t="s">
        <v>24</v>
      </c>
      <c r="N3" s="16" t="s">
        <v>25</v>
      </c>
      <c r="O3" s="17" t="s">
        <v>26</v>
      </c>
      <c r="P3" s="18" t="s">
        <v>27</v>
      </c>
      <c r="Q3" s="18" t="s">
        <v>28</v>
      </c>
      <c r="R3" s="19" t="s">
        <v>29</v>
      </c>
      <c r="S3" s="19" t="s">
        <v>30</v>
      </c>
      <c r="T3" s="20" t="s">
        <v>31</v>
      </c>
      <c r="U3" s="21" t="s">
        <v>32</v>
      </c>
    </row>
    <row r="4" spans="2:21" ht="15" customHeight="1">
      <c r="B4" s="22" t="s">
        <v>33</v>
      </c>
      <c r="C4" s="23" t="s">
        <v>34</v>
      </c>
      <c r="D4" s="24">
        <v>25</v>
      </c>
      <c r="E4" s="24"/>
      <c r="F4" s="25">
        <v>720</v>
      </c>
      <c r="G4" s="26"/>
      <c r="H4" s="25"/>
      <c r="I4" s="27"/>
      <c r="J4" s="25"/>
      <c r="K4" s="26"/>
      <c r="L4" s="25"/>
      <c r="M4" s="26"/>
      <c r="N4" s="25"/>
      <c r="O4" s="27"/>
      <c r="P4" s="28">
        <f>D4*6*10</f>
        <v>1500</v>
      </c>
      <c r="Q4" s="28">
        <f aca="true" t="shared" si="0" ref="Q4:Q49">SUM(F4:O4)</f>
        <v>720</v>
      </c>
      <c r="R4" s="29">
        <f aca="true" t="shared" si="1" ref="R4:R49">P4-Q4</f>
        <v>780</v>
      </c>
      <c r="S4" s="30">
        <f aca="true" t="shared" si="2" ref="S4:S50">(Q4/P4)*100</f>
        <v>48</v>
      </c>
      <c r="T4" s="31">
        <f aca="true" t="shared" si="3" ref="T4:T49">Q4*0.3+E4</f>
        <v>216.00000000000003</v>
      </c>
      <c r="U4" s="32"/>
    </row>
    <row r="5" spans="2:21" ht="15" customHeight="1">
      <c r="B5" s="22" t="s">
        <v>35</v>
      </c>
      <c r="C5" s="23" t="s">
        <v>36</v>
      </c>
      <c r="D5" s="24">
        <v>21</v>
      </c>
      <c r="E5" s="24"/>
      <c r="F5" s="25"/>
      <c r="G5" s="26"/>
      <c r="H5" s="25">
        <f>18*30</f>
        <v>540</v>
      </c>
      <c r="I5" s="27"/>
      <c r="J5" s="25"/>
      <c r="K5" s="26"/>
      <c r="L5" s="25"/>
      <c r="M5" s="26"/>
      <c r="N5" s="25"/>
      <c r="O5" s="27"/>
      <c r="P5" s="28">
        <f>(D5+1)*6*5+D5*6*5</f>
        <v>1290</v>
      </c>
      <c r="Q5" s="28">
        <f t="shared" si="0"/>
        <v>540</v>
      </c>
      <c r="R5" s="29">
        <f t="shared" si="1"/>
        <v>750</v>
      </c>
      <c r="S5" s="30">
        <f t="shared" si="2"/>
        <v>41.86046511627907</v>
      </c>
      <c r="T5" s="31">
        <f t="shared" si="3"/>
        <v>162.00000000000003</v>
      </c>
      <c r="U5" s="32"/>
    </row>
    <row r="6" spans="2:21" ht="15" customHeight="1">
      <c r="B6" s="22" t="s">
        <v>37</v>
      </c>
      <c r="C6" s="23" t="s">
        <v>38</v>
      </c>
      <c r="D6" s="24">
        <v>22</v>
      </c>
      <c r="E6" s="24"/>
      <c r="F6" s="25"/>
      <c r="G6" s="26"/>
      <c r="H6" s="25">
        <v>600</v>
      </c>
      <c r="I6" s="27"/>
      <c r="J6" s="25"/>
      <c r="K6" s="26"/>
      <c r="L6" s="25"/>
      <c r="M6" s="26"/>
      <c r="N6" s="25"/>
      <c r="O6" s="27"/>
      <c r="P6" s="28">
        <f aca="true" t="shared" si="4" ref="P6:P37">D6*6*10</f>
        <v>1320</v>
      </c>
      <c r="Q6" s="28">
        <f t="shared" si="0"/>
        <v>600</v>
      </c>
      <c r="R6" s="29">
        <f t="shared" si="1"/>
        <v>720</v>
      </c>
      <c r="S6" s="30">
        <f t="shared" si="2"/>
        <v>45.45454545454545</v>
      </c>
      <c r="T6" s="31">
        <f t="shared" si="3"/>
        <v>180.00000000000003</v>
      </c>
      <c r="U6" s="32"/>
    </row>
    <row r="7" spans="2:21" ht="15" customHeight="1">
      <c r="B7" s="22" t="s">
        <v>39</v>
      </c>
      <c r="C7" s="23" t="s">
        <v>40</v>
      </c>
      <c r="D7" s="24">
        <v>21</v>
      </c>
      <c r="E7" s="24"/>
      <c r="F7" s="25"/>
      <c r="G7" s="26">
        <f>12*30</f>
        <v>360</v>
      </c>
      <c r="H7" s="25"/>
      <c r="I7" s="27"/>
      <c r="J7" s="25"/>
      <c r="K7" s="26"/>
      <c r="L7" s="25"/>
      <c r="M7" s="26"/>
      <c r="N7" s="25"/>
      <c r="O7" s="27"/>
      <c r="P7" s="28">
        <f t="shared" si="4"/>
        <v>1260</v>
      </c>
      <c r="Q7" s="28">
        <f t="shared" si="0"/>
        <v>360</v>
      </c>
      <c r="R7" s="29">
        <f t="shared" si="1"/>
        <v>900</v>
      </c>
      <c r="S7" s="30">
        <f t="shared" si="2"/>
        <v>28.57142857142857</v>
      </c>
      <c r="T7" s="31">
        <f t="shared" si="3"/>
        <v>108.00000000000001</v>
      </c>
      <c r="U7" s="32"/>
    </row>
    <row r="8" spans="2:21" ht="15" customHeight="1">
      <c r="B8" s="22" t="s">
        <v>41</v>
      </c>
      <c r="C8" s="23" t="s">
        <v>42</v>
      </c>
      <c r="D8" s="24">
        <v>20</v>
      </c>
      <c r="E8" s="24"/>
      <c r="F8" s="25"/>
      <c r="G8" s="26"/>
      <c r="H8" s="25">
        <v>570</v>
      </c>
      <c r="I8" s="27"/>
      <c r="J8" s="25"/>
      <c r="K8"/>
      <c r="L8" s="25"/>
      <c r="M8" s="26"/>
      <c r="N8" s="25"/>
      <c r="O8" s="27"/>
      <c r="P8" s="28">
        <f t="shared" si="4"/>
        <v>1200</v>
      </c>
      <c r="Q8" s="28">
        <f t="shared" si="0"/>
        <v>570</v>
      </c>
      <c r="R8" s="29">
        <f t="shared" si="1"/>
        <v>630</v>
      </c>
      <c r="S8" s="30">
        <f t="shared" si="2"/>
        <v>47.5</v>
      </c>
      <c r="T8" s="31">
        <f t="shared" si="3"/>
        <v>171.00000000000003</v>
      </c>
      <c r="U8" s="32"/>
    </row>
    <row r="9" spans="2:21" ht="15" customHeight="1">
      <c r="B9" s="22" t="s">
        <v>43</v>
      </c>
      <c r="C9" s="23" t="s">
        <v>44</v>
      </c>
      <c r="D9" s="24">
        <v>18</v>
      </c>
      <c r="E9" s="24"/>
      <c r="F9" s="25">
        <f>30</f>
        <v>30</v>
      </c>
      <c r="G9" s="26"/>
      <c r="H9" s="25">
        <v>216</v>
      </c>
      <c r="I9" s="26"/>
      <c r="J9" s="25"/>
      <c r="K9" s="26"/>
      <c r="L9" s="25"/>
      <c r="M9" s="26"/>
      <c r="N9" s="25"/>
      <c r="O9" s="26"/>
      <c r="P9" s="28">
        <f t="shared" si="4"/>
        <v>1080</v>
      </c>
      <c r="Q9" s="28">
        <f t="shared" si="0"/>
        <v>246</v>
      </c>
      <c r="R9" s="29">
        <f t="shared" si="1"/>
        <v>834</v>
      </c>
      <c r="S9" s="30">
        <f t="shared" si="2"/>
        <v>22.77777777777778</v>
      </c>
      <c r="T9" s="31">
        <f t="shared" si="3"/>
        <v>73.80000000000001</v>
      </c>
      <c r="U9" s="32"/>
    </row>
    <row r="10" spans="2:21" ht="15" customHeight="1">
      <c r="B10" s="22" t="s">
        <v>45</v>
      </c>
      <c r="C10" s="23" t="s">
        <v>46</v>
      </c>
      <c r="D10" s="24">
        <v>20</v>
      </c>
      <c r="E10" s="24"/>
      <c r="F10" s="25">
        <f>17*30</f>
        <v>510</v>
      </c>
      <c r="G10" s="26"/>
      <c r="H10" s="25"/>
      <c r="I10" s="26"/>
      <c r="J10" s="25"/>
      <c r="K10" s="26"/>
      <c r="L10" s="25"/>
      <c r="M10" s="26"/>
      <c r="N10" s="25"/>
      <c r="O10" s="26"/>
      <c r="P10" s="28">
        <f t="shared" si="4"/>
        <v>1200</v>
      </c>
      <c r="Q10" s="28">
        <f t="shared" si="0"/>
        <v>510</v>
      </c>
      <c r="R10" s="29">
        <f t="shared" si="1"/>
        <v>690</v>
      </c>
      <c r="S10" s="30">
        <f t="shared" si="2"/>
        <v>42.5</v>
      </c>
      <c r="T10" s="31">
        <f t="shared" si="3"/>
        <v>153.00000000000003</v>
      </c>
      <c r="U10" s="32"/>
    </row>
    <row r="11" spans="2:21" ht="15" customHeight="1">
      <c r="B11" s="22" t="s">
        <v>47</v>
      </c>
      <c r="C11" s="23" t="s">
        <v>48</v>
      </c>
      <c r="D11" s="24">
        <v>20</v>
      </c>
      <c r="E11" s="24"/>
      <c r="F11" s="25"/>
      <c r="G11" s="26">
        <v>390</v>
      </c>
      <c r="H11" s="25"/>
      <c r="I11" s="26"/>
      <c r="J11" s="25"/>
      <c r="K11" s="26"/>
      <c r="L11" s="25"/>
      <c r="M11" s="26"/>
      <c r="N11" s="25"/>
      <c r="O11" s="26"/>
      <c r="P11" s="28">
        <f t="shared" si="4"/>
        <v>1200</v>
      </c>
      <c r="Q11" s="28">
        <f t="shared" si="0"/>
        <v>390</v>
      </c>
      <c r="R11" s="29">
        <f t="shared" si="1"/>
        <v>810</v>
      </c>
      <c r="S11" s="30">
        <f t="shared" si="2"/>
        <v>32.5</v>
      </c>
      <c r="T11" s="31">
        <f t="shared" si="3"/>
        <v>117.00000000000001</v>
      </c>
      <c r="U11" s="32"/>
    </row>
    <row r="12" spans="2:21" ht="15" customHeight="1">
      <c r="B12" s="22" t="s">
        <v>49</v>
      </c>
      <c r="C12" s="23" t="s">
        <v>50</v>
      </c>
      <c r="D12" s="24">
        <v>19</v>
      </c>
      <c r="E12" s="24"/>
      <c r="F12" s="25"/>
      <c r="G12" s="26"/>
      <c r="H12" s="25"/>
      <c r="I12" s="26"/>
      <c r="J12" s="25"/>
      <c r="K12" s="26"/>
      <c r="L12" s="25"/>
      <c r="M12" s="26"/>
      <c r="N12" s="25"/>
      <c r="O12" s="26"/>
      <c r="P12" s="28">
        <f t="shared" si="4"/>
        <v>1140</v>
      </c>
      <c r="Q12" s="28">
        <f t="shared" si="0"/>
        <v>0</v>
      </c>
      <c r="R12" s="29">
        <f t="shared" si="1"/>
        <v>1140</v>
      </c>
      <c r="S12" s="30">
        <f t="shared" si="2"/>
        <v>0</v>
      </c>
      <c r="T12" s="31">
        <f t="shared" si="3"/>
        <v>0</v>
      </c>
      <c r="U12" s="32"/>
    </row>
    <row r="13" spans="2:21" ht="15" customHeight="1">
      <c r="B13" s="22" t="s">
        <v>51</v>
      </c>
      <c r="C13" s="23" t="s">
        <v>52</v>
      </c>
      <c r="D13" s="24">
        <v>22</v>
      </c>
      <c r="E13" s="24"/>
      <c r="F13" s="25"/>
      <c r="G13" s="26"/>
      <c r="H13" s="25"/>
      <c r="I13" s="26"/>
      <c r="J13" s="25"/>
      <c r="K13" s="26"/>
      <c r="L13" s="25"/>
      <c r="M13" s="26"/>
      <c r="N13" s="25"/>
      <c r="O13" s="26"/>
      <c r="P13" s="28">
        <f t="shared" si="4"/>
        <v>1320</v>
      </c>
      <c r="Q13" s="28">
        <f t="shared" si="0"/>
        <v>0</v>
      </c>
      <c r="R13" s="29">
        <f t="shared" si="1"/>
        <v>1320</v>
      </c>
      <c r="S13" s="30">
        <f t="shared" si="2"/>
        <v>0</v>
      </c>
      <c r="T13" s="31">
        <f t="shared" si="3"/>
        <v>0</v>
      </c>
      <c r="U13" s="32"/>
    </row>
    <row r="14" spans="2:21" ht="15" customHeight="1">
      <c r="B14" s="22" t="s">
        <v>53</v>
      </c>
      <c r="C14" s="23" t="s">
        <v>54</v>
      </c>
      <c r="D14" s="24">
        <v>22</v>
      </c>
      <c r="E14" s="24"/>
      <c r="F14" s="25">
        <f>30+30+30</f>
        <v>90</v>
      </c>
      <c r="G14" s="26">
        <f>60+30+30+30+30+60</f>
        <v>240</v>
      </c>
      <c r="H14" s="25">
        <f>30</f>
        <v>30</v>
      </c>
      <c r="I14" s="26"/>
      <c r="J14" s="25"/>
      <c r="K14" s="26"/>
      <c r="L14" s="25"/>
      <c r="M14" s="26"/>
      <c r="N14" s="25"/>
      <c r="O14" s="26"/>
      <c r="P14" s="28">
        <f t="shared" si="4"/>
        <v>1320</v>
      </c>
      <c r="Q14" s="28">
        <f t="shared" si="0"/>
        <v>360</v>
      </c>
      <c r="R14" s="29">
        <f t="shared" si="1"/>
        <v>960</v>
      </c>
      <c r="S14" s="30">
        <f t="shared" si="2"/>
        <v>27.27272727272727</v>
      </c>
      <c r="T14" s="31">
        <f t="shared" si="3"/>
        <v>108.00000000000001</v>
      </c>
      <c r="U14" s="32"/>
    </row>
    <row r="15" spans="2:21" ht="15" customHeight="1">
      <c r="B15" s="22" t="s">
        <v>55</v>
      </c>
      <c r="C15" s="23" t="s">
        <v>56</v>
      </c>
      <c r="D15" s="24">
        <v>24</v>
      </c>
      <c r="E15" s="24"/>
      <c r="F15" s="25"/>
      <c r="G15" s="26">
        <f>30+660</f>
        <v>690</v>
      </c>
      <c r="H15" s="25"/>
      <c r="I15" s="26"/>
      <c r="J15" s="25"/>
      <c r="K15" s="26"/>
      <c r="L15" s="25"/>
      <c r="M15" s="26"/>
      <c r="N15" s="25"/>
      <c r="O15" s="26"/>
      <c r="P15" s="28">
        <f t="shared" si="4"/>
        <v>1440</v>
      </c>
      <c r="Q15" s="28">
        <f t="shared" si="0"/>
        <v>690</v>
      </c>
      <c r="R15" s="29">
        <f t="shared" si="1"/>
        <v>750</v>
      </c>
      <c r="S15" s="30">
        <f t="shared" si="2"/>
        <v>47.91666666666667</v>
      </c>
      <c r="T15" s="31">
        <f t="shared" si="3"/>
        <v>207.00000000000003</v>
      </c>
      <c r="U15" s="32"/>
    </row>
    <row r="16" spans="2:21" ht="15" customHeight="1">
      <c r="B16" s="22" t="s">
        <v>57</v>
      </c>
      <c r="C16" s="23" t="s">
        <v>58</v>
      </c>
      <c r="D16" s="24">
        <v>27</v>
      </c>
      <c r="E16" s="24"/>
      <c r="F16" s="25"/>
      <c r="G16" s="26">
        <f>27*30</f>
        <v>810</v>
      </c>
      <c r="H16" s="25"/>
      <c r="I16" s="26"/>
      <c r="J16" s="25"/>
      <c r="K16" s="26"/>
      <c r="L16" s="25"/>
      <c r="M16" s="26"/>
      <c r="N16" s="25"/>
      <c r="O16" s="26"/>
      <c r="P16" s="28">
        <f t="shared" si="4"/>
        <v>1620</v>
      </c>
      <c r="Q16" s="28">
        <f t="shared" si="0"/>
        <v>810</v>
      </c>
      <c r="R16" s="29">
        <f t="shared" si="1"/>
        <v>810</v>
      </c>
      <c r="S16" s="30">
        <f t="shared" si="2"/>
        <v>50</v>
      </c>
      <c r="T16" s="31">
        <f t="shared" si="3"/>
        <v>243.00000000000003</v>
      </c>
      <c r="U16" s="32"/>
    </row>
    <row r="17" spans="2:21" ht="15" customHeight="1">
      <c r="B17" s="22" t="s">
        <v>59</v>
      </c>
      <c r="C17" s="23" t="s">
        <v>60</v>
      </c>
      <c r="D17" s="24">
        <v>26</v>
      </c>
      <c r="E17" s="24"/>
      <c r="F17" s="25"/>
      <c r="G17" s="26"/>
      <c r="H17" s="25">
        <v>600</v>
      </c>
      <c r="I17" s="26"/>
      <c r="J17" s="25"/>
      <c r="K17" s="26"/>
      <c r="L17" s="25"/>
      <c r="M17" s="26"/>
      <c r="N17" s="25"/>
      <c r="O17" s="26"/>
      <c r="P17" s="28">
        <f t="shared" si="4"/>
        <v>1560</v>
      </c>
      <c r="Q17" s="28">
        <f t="shared" si="0"/>
        <v>600</v>
      </c>
      <c r="R17" s="29">
        <f t="shared" si="1"/>
        <v>960</v>
      </c>
      <c r="S17" s="30">
        <f t="shared" si="2"/>
        <v>38.46153846153847</v>
      </c>
      <c r="T17" s="31">
        <f t="shared" si="3"/>
        <v>180.00000000000003</v>
      </c>
      <c r="U17" s="32"/>
    </row>
    <row r="18" spans="2:21" ht="15" customHeight="1">
      <c r="B18" s="22" t="s">
        <v>61</v>
      </c>
      <c r="C18" s="23" t="s">
        <v>62</v>
      </c>
      <c r="D18" s="24">
        <v>27</v>
      </c>
      <c r="E18" s="24"/>
      <c r="F18" s="25"/>
      <c r="G18" s="26">
        <v>757.41</v>
      </c>
      <c r="H18" s="25"/>
      <c r="I18" s="26"/>
      <c r="J18" s="25"/>
      <c r="K18" s="26">
        <v>60</v>
      </c>
      <c r="L18" s="25"/>
      <c r="M18" s="26"/>
      <c r="N18" s="25"/>
      <c r="O18" s="26"/>
      <c r="P18" s="28">
        <f t="shared" si="4"/>
        <v>1620</v>
      </c>
      <c r="Q18" s="28">
        <f t="shared" si="0"/>
        <v>817.41</v>
      </c>
      <c r="R18" s="29">
        <f t="shared" si="1"/>
        <v>802.59</v>
      </c>
      <c r="S18" s="30">
        <f t="shared" si="2"/>
        <v>50.45740740740741</v>
      </c>
      <c r="T18" s="31">
        <f t="shared" si="3"/>
        <v>245.223</v>
      </c>
      <c r="U18" s="32"/>
    </row>
    <row r="19" spans="2:21" ht="15" customHeight="1">
      <c r="B19" s="22" t="s">
        <v>63</v>
      </c>
      <c r="C19" s="23" t="s">
        <v>64</v>
      </c>
      <c r="D19" s="24">
        <v>27</v>
      </c>
      <c r="E19" s="24"/>
      <c r="F19" s="25"/>
      <c r="G19" s="26"/>
      <c r="H19" s="25"/>
      <c r="I19" s="26"/>
      <c r="J19" s="25"/>
      <c r="K19" s="26"/>
      <c r="L19" s="25"/>
      <c r="M19" s="26"/>
      <c r="N19" s="25"/>
      <c r="O19" s="26"/>
      <c r="P19" s="28">
        <f t="shared" si="4"/>
        <v>1620</v>
      </c>
      <c r="Q19" s="28">
        <f t="shared" si="0"/>
        <v>0</v>
      </c>
      <c r="R19" s="29">
        <f t="shared" si="1"/>
        <v>1620</v>
      </c>
      <c r="S19" s="30">
        <f t="shared" si="2"/>
        <v>0</v>
      </c>
      <c r="T19" s="31">
        <f t="shared" si="3"/>
        <v>0</v>
      </c>
      <c r="U19" s="32"/>
    </row>
    <row r="20" spans="2:21" ht="15" customHeight="1">
      <c r="B20" s="22" t="s">
        <v>65</v>
      </c>
      <c r="C20" s="23" t="s">
        <v>66</v>
      </c>
      <c r="D20" s="24">
        <v>25</v>
      </c>
      <c r="E20" s="24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8">
        <f t="shared" si="4"/>
        <v>1500</v>
      </c>
      <c r="Q20" s="28">
        <f t="shared" si="0"/>
        <v>0</v>
      </c>
      <c r="R20" s="29">
        <f t="shared" si="1"/>
        <v>1500</v>
      </c>
      <c r="S20" s="30">
        <f t="shared" si="2"/>
        <v>0</v>
      </c>
      <c r="T20" s="31">
        <f t="shared" si="3"/>
        <v>0</v>
      </c>
      <c r="U20" s="32"/>
    </row>
    <row r="21" spans="2:21" ht="15" customHeight="1">
      <c r="B21" s="22" t="s">
        <v>67</v>
      </c>
      <c r="C21" s="23" t="s">
        <v>68</v>
      </c>
      <c r="D21" s="24">
        <v>25</v>
      </c>
      <c r="E21" s="24">
        <f>198</f>
        <v>198</v>
      </c>
      <c r="F21" s="25">
        <f>30+480</f>
        <v>510</v>
      </c>
      <c r="G21" s="26">
        <v>510</v>
      </c>
      <c r="H21" s="25"/>
      <c r="I21" s="26"/>
      <c r="J21" s="25"/>
      <c r="K21" s="26"/>
      <c r="L21" s="25"/>
      <c r="M21" s="26"/>
      <c r="N21" s="25"/>
      <c r="O21" s="26"/>
      <c r="P21" s="28">
        <f t="shared" si="4"/>
        <v>1500</v>
      </c>
      <c r="Q21" s="28">
        <f t="shared" si="0"/>
        <v>1020</v>
      </c>
      <c r="R21" s="29">
        <f t="shared" si="1"/>
        <v>480</v>
      </c>
      <c r="S21" s="30">
        <f t="shared" si="2"/>
        <v>68</v>
      </c>
      <c r="T21" s="31">
        <f t="shared" si="3"/>
        <v>504.00000000000006</v>
      </c>
      <c r="U21" s="32"/>
    </row>
    <row r="22" spans="2:21" ht="15" customHeight="1">
      <c r="B22" s="22" t="s">
        <v>69</v>
      </c>
      <c r="C22" s="23" t="s">
        <v>70</v>
      </c>
      <c r="D22" s="24">
        <v>25</v>
      </c>
      <c r="E22" s="24"/>
      <c r="F22" s="25"/>
      <c r="G22" s="26"/>
      <c r="H22" s="25">
        <v>390</v>
      </c>
      <c r="I22" s="26"/>
      <c r="J22" s="25"/>
      <c r="K22" s="26"/>
      <c r="L22" s="25"/>
      <c r="M22" s="26"/>
      <c r="N22" s="25"/>
      <c r="O22" s="26"/>
      <c r="P22" s="28">
        <f t="shared" si="4"/>
        <v>1500</v>
      </c>
      <c r="Q22" s="28">
        <f t="shared" si="0"/>
        <v>390</v>
      </c>
      <c r="R22" s="29">
        <f t="shared" si="1"/>
        <v>1110</v>
      </c>
      <c r="S22" s="30">
        <f t="shared" si="2"/>
        <v>26</v>
      </c>
      <c r="T22" s="31">
        <f t="shared" si="3"/>
        <v>117.00000000000001</v>
      </c>
      <c r="U22" s="32"/>
    </row>
    <row r="23" spans="2:21" ht="15" customHeight="1">
      <c r="B23" s="22" t="s">
        <v>71</v>
      </c>
      <c r="C23" s="23" t="s">
        <v>72</v>
      </c>
      <c r="D23" s="24">
        <v>25</v>
      </c>
      <c r="E23" s="24"/>
      <c r="F23" s="25"/>
      <c r="G23" s="26"/>
      <c r="H23" s="25"/>
      <c r="I23" s="26"/>
      <c r="J23" s="25"/>
      <c r="K23" s="26"/>
      <c r="L23" s="25"/>
      <c r="M23" s="26"/>
      <c r="N23" s="25"/>
      <c r="O23" s="26"/>
      <c r="P23" s="28">
        <f t="shared" si="4"/>
        <v>1500</v>
      </c>
      <c r="Q23" s="28">
        <f t="shared" si="0"/>
        <v>0</v>
      </c>
      <c r="R23" s="29">
        <f t="shared" si="1"/>
        <v>1500</v>
      </c>
      <c r="S23" s="30">
        <f t="shared" si="2"/>
        <v>0</v>
      </c>
      <c r="T23" s="31">
        <f t="shared" si="3"/>
        <v>0</v>
      </c>
      <c r="U23" s="32"/>
    </row>
    <row r="24" spans="2:21" ht="15" customHeight="1">
      <c r="B24" s="22" t="s">
        <v>73</v>
      </c>
      <c r="C24" s="23" t="s">
        <v>74</v>
      </c>
      <c r="D24" s="24">
        <v>26</v>
      </c>
      <c r="E24" s="24"/>
      <c r="F24" s="25"/>
      <c r="G24" s="26">
        <f>600+30</f>
        <v>630</v>
      </c>
      <c r="H24" s="25"/>
      <c r="I24" s="26"/>
      <c r="J24" s="25"/>
      <c r="K24" s="26"/>
      <c r="L24" s="25"/>
      <c r="M24" s="26"/>
      <c r="N24" s="25"/>
      <c r="O24" s="26"/>
      <c r="P24" s="28">
        <f t="shared" si="4"/>
        <v>1560</v>
      </c>
      <c r="Q24" s="28">
        <f t="shared" si="0"/>
        <v>630</v>
      </c>
      <c r="R24" s="29">
        <f t="shared" si="1"/>
        <v>930</v>
      </c>
      <c r="S24" s="30">
        <f t="shared" si="2"/>
        <v>40.38461538461539</v>
      </c>
      <c r="T24" s="31">
        <f t="shared" si="3"/>
        <v>189.00000000000003</v>
      </c>
      <c r="U24" s="32"/>
    </row>
    <row r="25" spans="2:21" ht="15" customHeight="1">
      <c r="B25" s="22" t="s">
        <v>75</v>
      </c>
      <c r="C25" s="23" t="s">
        <v>76</v>
      </c>
      <c r="D25" s="24">
        <v>20</v>
      </c>
      <c r="E25" s="24"/>
      <c r="F25" s="25">
        <f>30+30+30+30</f>
        <v>120</v>
      </c>
      <c r="G25" s="26">
        <f>30+30+30</f>
        <v>90</v>
      </c>
      <c r="H25" s="25"/>
      <c r="I25" s="26"/>
      <c r="J25" s="25"/>
      <c r="K25" s="26"/>
      <c r="L25" s="25"/>
      <c r="M25" s="26"/>
      <c r="N25" s="25"/>
      <c r="O25" s="26"/>
      <c r="P25" s="28">
        <f t="shared" si="4"/>
        <v>1200</v>
      </c>
      <c r="Q25" s="28">
        <f t="shared" si="0"/>
        <v>210</v>
      </c>
      <c r="R25" s="29">
        <f t="shared" si="1"/>
        <v>990</v>
      </c>
      <c r="S25" s="30">
        <f t="shared" si="2"/>
        <v>17.5</v>
      </c>
      <c r="T25" s="31">
        <f t="shared" si="3"/>
        <v>63.00000000000001</v>
      </c>
      <c r="U25" s="32"/>
    </row>
    <row r="26" spans="2:21" ht="15" customHeight="1">
      <c r="B26" s="22" t="s">
        <v>77</v>
      </c>
      <c r="C26" s="23" t="s">
        <v>78</v>
      </c>
      <c r="D26" s="24">
        <v>23</v>
      </c>
      <c r="E26" s="24"/>
      <c r="F26" s="25"/>
      <c r="G26" s="26">
        <f>360+60</f>
        <v>420</v>
      </c>
      <c r="H26" s="25"/>
      <c r="I26" s="26"/>
      <c r="J26" s="25"/>
      <c r="K26" s="26"/>
      <c r="L26" s="25"/>
      <c r="M26" s="26"/>
      <c r="N26" s="25"/>
      <c r="O26" s="26"/>
      <c r="P26" s="28">
        <f t="shared" si="4"/>
        <v>1380</v>
      </c>
      <c r="Q26" s="28">
        <f t="shared" si="0"/>
        <v>420</v>
      </c>
      <c r="R26" s="29">
        <f t="shared" si="1"/>
        <v>960</v>
      </c>
      <c r="S26" s="30">
        <f t="shared" si="2"/>
        <v>30.434782608695656</v>
      </c>
      <c r="T26" s="31">
        <f t="shared" si="3"/>
        <v>126.00000000000001</v>
      </c>
      <c r="U26" s="32"/>
    </row>
    <row r="27" spans="2:21" ht="15" customHeight="1">
      <c r="B27" s="22" t="s">
        <v>79</v>
      </c>
      <c r="C27" s="23" t="s">
        <v>80</v>
      </c>
      <c r="D27" s="24">
        <v>16</v>
      </c>
      <c r="E27" s="24"/>
      <c r="F27" s="25">
        <f>30+30+60+30+60+30+30</f>
        <v>270</v>
      </c>
      <c r="G27" s="26">
        <f>60+30+30</f>
        <v>120</v>
      </c>
      <c r="H27" s="25"/>
      <c r="I27" s="26"/>
      <c r="J27" s="25"/>
      <c r="K27" s="26">
        <v>30</v>
      </c>
      <c r="L27" s="25"/>
      <c r="M27" s="26"/>
      <c r="N27" s="25"/>
      <c r="O27" s="26"/>
      <c r="P27" s="28">
        <f t="shared" si="4"/>
        <v>960</v>
      </c>
      <c r="Q27" s="28">
        <f t="shared" si="0"/>
        <v>420</v>
      </c>
      <c r="R27" s="29">
        <f t="shared" si="1"/>
        <v>540</v>
      </c>
      <c r="S27" s="30">
        <f t="shared" si="2"/>
        <v>43.75</v>
      </c>
      <c r="T27" s="31">
        <f t="shared" si="3"/>
        <v>126.00000000000001</v>
      </c>
      <c r="U27" s="32"/>
    </row>
    <row r="28" spans="2:21" ht="15" customHeight="1">
      <c r="B28" s="22" t="s">
        <v>81</v>
      </c>
      <c r="C28" s="23" t="s">
        <v>82</v>
      </c>
      <c r="D28" s="24">
        <v>20</v>
      </c>
      <c r="E28" s="24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8">
        <f t="shared" si="4"/>
        <v>1200</v>
      </c>
      <c r="Q28" s="28">
        <f t="shared" si="0"/>
        <v>0</v>
      </c>
      <c r="R28" s="29">
        <f t="shared" si="1"/>
        <v>1200</v>
      </c>
      <c r="S28" s="30">
        <f t="shared" si="2"/>
        <v>0</v>
      </c>
      <c r="T28" s="31">
        <f t="shared" si="3"/>
        <v>0</v>
      </c>
      <c r="U28" s="32"/>
    </row>
    <row r="29" spans="2:21" ht="15" customHeight="1">
      <c r="B29" s="22" t="s">
        <v>83</v>
      </c>
      <c r="C29" s="23" t="s">
        <v>84</v>
      </c>
      <c r="D29" s="24">
        <v>25</v>
      </c>
      <c r="E29" s="24"/>
      <c r="F29" s="25"/>
      <c r="G29" s="26"/>
      <c r="H29" s="25">
        <v>592</v>
      </c>
      <c r="I29" s="26"/>
      <c r="J29" s="25"/>
      <c r="K29" s="26"/>
      <c r="L29" s="25"/>
      <c r="M29" s="26"/>
      <c r="N29" s="25"/>
      <c r="O29" s="26"/>
      <c r="P29" s="28">
        <f t="shared" si="4"/>
        <v>1500</v>
      </c>
      <c r="Q29" s="28">
        <f t="shared" si="0"/>
        <v>592</v>
      </c>
      <c r="R29" s="29">
        <f t="shared" si="1"/>
        <v>908</v>
      </c>
      <c r="S29" s="30">
        <f t="shared" si="2"/>
        <v>39.46666666666667</v>
      </c>
      <c r="T29" s="31">
        <f t="shared" si="3"/>
        <v>177.60000000000002</v>
      </c>
      <c r="U29" s="32"/>
    </row>
    <row r="30" spans="2:21" ht="15" customHeight="1">
      <c r="B30" s="22" t="s">
        <v>85</v>
      </c>
      <c r="C30" s="23" t="s">
        <v>86</v>
      </c>
      <c r="D30" s="33">
        <v>23</v>
      </c>
      <c r="E30" s="33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8">
        <f t="shared" si="4"/>
        <v>1380</v>
      </c>
      <c r="Q30" s="28">
        <f t="shared" si="0"/>
        <v>0</v>
      </c>
      <c r="R30" s="29">
        <f t="shared" si="1"/>
        <v>1380</v>
      </c>
      <c r="S30" s="30">
        <f t="shared" si="2"/>
        <v>0</v>
      </c>
      <c r="T30" s="31">
        <f t="shared" si="3"/>
        <v>0</v>
      </c>
      <c r="U30" s="32"/>
    </row>
    <row r="31" spans="2:21" ht="15" customHeight="1">
      <c r="B31" s="22" t="s">
        <v>87</v>
      </c>
      <c r="C31" s="23" t="s">
        <v>88</v>
      </c>
      <c r="D31" s="24">
        <v>20</v>
      </c>
      <c r="E31" s="24"/>
      <c r="F31" s="25"/>
      <c r="G31" s="26">
        <v>690</v>
      </c>
      <c r="H31" s="25"/>
      <c r="I31" s="26"/>
      <c r="J31" s="25"/>
      <c r="K31" s="26"/>
      <c r="L31" s="25"/>
      <c r="M31" s="26"/>
      <c r="N31" s="25"/>
      <c r="O31" s="26"/>
      <c r="P31" s="28">
        <f t="shared" si="4"/>
        <v>1200</v>
      </c>
      <c r="Q31" s="28">
        <f t="shared" si="0"/>
        <v>690</v>
      </c>
      <c r="R31" s="29">
        <f t="shared" si="1"/>
        <v>510</v>
      </c>
      <c r="S31" s="30">
        <f t="shared" si="2"/>
        <v>57.49999999999999</v>
      </c>
      <c r="T31" s="31">
        <f t="shared" si="3"/>
        <v>207.00000000000003</v>
      </c>
      <c r="U31" s="32"/>
    </row>
    <row r="32" spans="2:21" ht="15" customHeight="1">
      <c r="B32" s="22" t="s">
        <v>89</v>
      </c>
      <c r="C32" s="23" t="s">
        <v>90</v>
      </c>
      <c r="D32" s="24">
        <v>19</v>
      </c>
      <c r="E32" s="24"/>
      <c r="F32" s="25"/>
      <c r="G32" s="26">
        <f>14*30</f>
        <v>420</v>
      </c>
      <c r="H32" s="25"/>
      <c r="I32" s="26"/>
      <c r="J32" s="25"/>
      <c r="K32" s="26"/>
      <c r="L32" s="25"/>
      <c r="M32" s="26"/>
      <c r="N32" s="25"/>
      <c r="O32" s="26"/>
      <c r="P32" s="28">
        <f t="shared" si="4"/>
        <v>1140</v>
      </c>
      <c r="Q32" s="28">
        <f t="shared" si="0"/>
        <v>420</v>
      </c>
      <c r="R32" s="29">
        <f t="shared" si="1"/>
        <v>720</v>
      </c>
      <c r="S32" s="30">
        <f t="shared" si="2"/>
        <v>36.84210526315789</v>
      </c>
      <c r="T32" s="31">
        <f t="shared" si="3"/>
        <v>126.00000000000001</v>
      </c>
      <c r="U32" s="32"/>
    </row>
    <row r="33" spans="2:21" ht="15" customHeight="1">
      <c r="B33" s="22" t="s">
        <v>91</v>
      </c>
      <c r="C33" s="23" t="s">
        <v>92</v>
      </c>
      <c r="D33" s="24">
        <v>23</v>
      </c>
      <c r="E33" s="24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8">
        <f t="shared" si="4"/>
        <v>1380</v>
      </c>
      <c r="Q33" s="28">
        <f t="shared" si="0"/>
        <v>0</v>
      </c>
      <c r="R33" s="29">
        <f t="shared" si="1"/>
        <v>1380</v>
      </c>
      <c r="S33" s="30">
        <f t="shared" si="2"/>
        <v>0</v>
      </c>
      <c r="T33" s="31">
        <f t="shared" si="3"/>
        <v>0</v>
      </c>
      <c r="U33" s="32"/>
    </row>
    <row r="34" spans="2:21" ht="15" customHeight="1">
      <c r="B34" s="22" t="s">
        <v>93</v>
      </c>
      <c r="C34" s="23" t="s">
        <v>94</v>
      </c>
      <c r="D34" s="24">
        <v>26</v>
      </c>
      <c r="E34" s="24"/>
      <c r="F34" s="25"/>
      <c r="G34" s="26">
        <v>180</v>
      </c>
      <c r="H34" s="25"/>
      <c r="I34" s="26"/>
      <c r="J34" s="25"/>
      <c r="K34" s="26"/>
      <c r="L34" s="25"/>
      <c r="M34" s="26"/>
      <c r="N34" s="25"/>
      <c r="O34" s="26"/>
      <c r="P34" s="28">
        <f t="shared" si="4"/>
        <v>1560</v>
      </c>
      <c r="Q34" s="28">
        <f t="shared" si="0"/>
        <v>180</v>
      </c>
      <c r="R34" s="29">
        <f t="shared" si="1"/>
        <v>1380</v>
      </c>
      <c r="S34" s="30">
        <f t="shared" si="2"/>
        <v>11.538461538461538</v>
      </c>
      <c r="T34" s="31">
        <f t="shared" si="3"/>
        <v>54.00000000000001</v>
      </c>
      <c r="U34" s="32"/>
    </row>
    <row r="35" spans="2:21" ht="15" customHeight="1">
      <c r="B35" s="22" t="s">
        <v>95</v>
      </c>
      <c r="C35" s="23" t="s">
        <v>96</v>
      </c>
      <c r="D35" s="24">
        <v>20</v>
      </c>
      <c r="E35" s="24"/>
      <c r="F35" s="25"/>
      <c r="G35" s="26"/>
      <c r="H35" s="25">
        <f>30</f>
        <v>30</v>
      </c>
      <c r="I35" s="26"/>
      <c r="J35" s="25"/>
      <c r="K35" s="26"/>
      <c r="L35" s="25"/>
      <c r="M35" s="26"/>
      <c r="N35" s="25"/>
      <c r="O35" s="26"/>
      <c r="P35" s="28">
        <f t="shared" si="4"/>
        <v>1200</v>
      </c>
      <c r="Q35" s="28">
        <f t="shared" si="0"/>
        <v>30</v>
      </c>
      <c r="R35" s="29">
        <f t="shared" si="1"/>
        <v>1170</v>
      </c>
      <c r="S35" s="30">
        <f t="shared" si="2"/>
        <v>2.5</v>
      </c>
      <c r="T35" s="31">
        <f t="shared" si="3"/>
        <v>9.000000000000002</v>
      </c>
      <c r="U35" s="32"/>
    </row>
    <row r="36" spans="2:21" ht="15" customHeight="1">
      <c r="B36" s="22" t="s">
        <v>97</v>
      </c>
      <c r="C36" s="23" t="s">
        <v>98</v>
      </c>
      <c r="D36" s="24">
        <v>27</v>
      </c>
      <c r="E36" s="24"/>
      <c r="F36" s="25"/>
      <c r="G36" s="26">
        <f>90+1140</f>
        <v>1230</v>
      </c>
      <c r="H36" s="25"/>
      <c r="I36" s="26"/>
      <c r="J36" s="25"/>
      <c r="K36" s="26"/>
      <c r="L36" s="25"/>
      <c r="M36" s="26"/>
      <c r="N36" s="25"/>
      <c r="O36" s="26"/>
      <c r="P36" s="28">
        <f t="shared" si="4"/>
        <v>1620</v>
      </c>
      <c r="Q36" s="28">
        <f t="shared" si="0"/>
        <v>1230</v>
      </c>
      <c r="R36" s="29">
        <f t="shared" si="1"/>
        <v>390</v>
      </c>
      <c r="S36" s="30">
        <f t="shared" si="2"/>
        <v>75.92592592592592</v>
      </c>
      <c r="T36" s="31">
        <f t="shared" si="3"/>
        <v>369.00000000000006</v>
      </c>
      <c r="U36" s="32"/>
    </row>
    <row r="37" spans="2:21" ht="15" customHeight="1">
      <c r="B37" s="22" t="s">
        <v>99</v>
      </c>
      <c r="C37" s="23" t="s">
        <v>100</v>
      </c>
      <c r="D37" s="24">
        <v>25</v>
      </c>
      <c r="E37" s="24"/>
      <c r="F37" s="25"/>
      <c r="G37" s="26">
        <f>30</f>
        <v>30</v>
      </c>
      <c r="H37" s="25"/>
      <c r="I37" s="26"/>
      <c r="J37" s="25"/>
      <c r="K37" s="26"/>
      <c r="L37" s="25"/>
      <c r="M37" s="26"/>
      <c r="N37" s="25"/>
      <c r="O37" s="26"/>
      <c r="P37" s="28">
        <f t="shared" si="4"/>
        <v>1500</v>
      </c>
      <c r="Q37" s="28">
        <f t="shared" si="0"/>
        <v>30</v>
      </c>
      <c r="R37" s="29">
        <f t="shared" si="1"/>
        <v>1470</v>
      </c>
      <c r="S37" s="30">
        <f t="shared" si="2"/>
        <v>2</v>
      </c>
      <c r="T37" s="31">
        <f t="shared" si="3"/>
        <v>9.000000000000002</v>
      </c>
      <c r="U37" s="32"/>
    </row>
    <row r="38" spans="2:21" ht="15" customHeight="1">
      <c r="B38" s="22" t="s">
        <v>101</v>
      </c>
      <c r="C38" s="23" t="s">
        <v>102</v>
      </c>
      <c r="D38" s="24">
        <v>26</v>
      </c>
      <c r="E38" s="24"/>
      <c r="F38" s="25"/>
      <c r="G38" s="26">
        <v>510</v>
      </c>
      <c r="H38" s="25"/>
      <c r="I38" s="26"/>
      <c r="J38" s="25"/>
      <c r="K38" s="26"/>
      <c r="L38" s="25"/>
      <c r="M38" s="26"/>
      <c r="N38" s="25"/>
      <c r="O38" s="26"/>
      <c r="P38" s="28">
        <f>(D38-1)*6*5+D38*6*5</f>
        <v>1530</v>
      </c>
      <c r="Q38" s="28">
        <f t="shared" si="0"/>
        <v>510</v>
      </c>
      <c r="R38" s="29">
        <f t="shared" si="1"/>
        <v>1020</v>
      </c>
      <c r="S38" s="30">
        <f t="shared" si="2"/>
        <v>33.33333333333333</v>
      </c>
      <c r="T38" s="31">
        <f t="shared" si="3"/>
        <v>153.00000000000003</v>
      </c>
      <c r="U38" s="32"/>
    </row>
    <row r="39" spans="2:21" ht="15" customHeight="1">
      <c r="B39" s="22" t="s">
        <v>103</v>
      </c>
      <c r="C39" s="23" t="s">
        <v>104</v>
      </c>
      <c r="D39" s="24">
        <v>26</v>
      </c>
      <c r="E39" s="24"/>
      <c r="F39" s="25"/>
      <c r="G39" s="26">
        <v>690</v>
      </c>
      <c r="H39" s="25"/>
      <c r="I39" s="26"/>
      <c r="J39" s="25"/>
      <c r="K39" s="26"/>
      <c r="L39" s="25"/>
      <c r="M39" s="26"/>
      <c r="N39" s="25"/>
      <c r="O39" s="26"/>
      <c r="P39" s="28">
        <f aca="true" t="shared" si="5" ref="P39:P49">D39*6*10</f>
        <v>1560</v>
      </c>
      <c r="Q39" s="28">
        <f t="shared" si="0"/>
        <v>690</v>
      </c>
      <c r="R39" s="29">
        <f t="shared" si="1"/>
        <v>870</v>
      </c>
      <c r="S39" s="30">
        <f t="shared" si="2"/>
        <v>44.230769230769226</v>
      </c>
      <c r="T39" s="31">
        <f t="shared" si="3"/>
        <v>207.00000000000003</v>
      </c>
      <c r="U39" s="32"/>
    </row>
    <row r="40" spans="2:21" ht="15" customHeight="1">
      <c r="B40" s="22" t="s">
        <v>105</v>
      </c>
      <c r="C40" s="23" t="s">
        <v>106</v>
      </c>
      <c r="D40" s="24">
        <v>27</v>
      </c>
      <c r="E40" s="24"/>
      <c r="F40" s="25"/>
      <c r="G40" s="26"/>
      <c r="H40" s="25">
        <v>390</v>
      </c>
      <c r="I40" s="26"/>
      <c r="J40" s="25"/>
      <c r="K40" s="26"/>
      <c r="L40" s="25"/>
      <c r="M40" s="26"/>
      <c r="N40" s="25"/>
      <c r="O40" s="26"/>
      <c r="P40" s="28">
        <f t="shared" si="5"/>
        <v>1620</v>
      </c>
      <c r="Q40" s="28">
        <f t="shared" si="0"/>
        <v>390</v>
      </c>
      <c r="R40" s="29">
        <f t="shared" si="1"/>
        <v>1230</v>
      </c>
      <c r="S40" s="30">
        <f t="shared" si="2"/>
        <v>24.074074074074073</v>
      </c>
      <c r="T40" s="31">
        <f t="shared" si="3"/>
        <v>117.00000000000001</v>
      </c>
      <c r="U40" s="32"/>
    </row>
    <row r="41" spans="2:21" ht="15" customHeight="1">
      <c r="B41" s="22" t="s">
        <v>107</v>
      </c>
      <c r="C41" s="23" t="s">
        <v>108</v>
      </c>
      <c r="D41" s="24">
        <v>27</v>
      </c>
      <c r="E41" s="24">
        <v>216</v>
      </c>
      <c r="F41" s="25">
        <f>30+30</f>
        <v>60</v>
      </c>
      <c r="G41" s="26"/>
      <c r="H41" s="25"/>
      <c r="I41" s="26"/>
      <c r="J41" s="25"/>
      <c r="K41" s="26"/>
      <c r="L41" s="25"/>
      <c r="M41" s="26"/>
      <c r="N41" s="25"/>
      <c r="O41" s="26"/>
      <c r="P41" s="28">
        <f t="shared" si="5"/>
        <v>1620</v>
      </c>
      <c r="Q41" s="28">
        <f t="shared" si="0"/>
        <v>60</v>
      </c>
      <c r="R41" s="29">
        <f t="shared" si="1"/>
        <v>1560</v>
      </c>
      <c r="S41" s="30">
        <f t="shared" si="2"/>
        <v>3.7037037037037033</v>
      </c>
      <c r="T41" s="31">
        <f t="shared" si="3"/>
        <v>234</v>
      </c>
      <c r="U41" s="32"/>
    </row>
    <row r="42" spans="2:21" ht="15" customHeight="1">
      <c r="B42" s="22" t="s">
        <v>109</v>
      </c>
      <c r="C42" s="23" t="s">
        <v>110</v>
      </c>
      <c r="D42" s="24">
        <v>17</v>
      </c>
      <c r="E42" s="24"/>
      <c r="F42" s="25"/>
      <c r="G42" s="26"/>
      <c r="H42" s="25">
        <v>240</v>
      </c>
      <c r="I42" s="26"/>
      <c r="J42" s="25"/>
      <c r="K42" s="26"/>
      <c r="L42" s="25"/>
      <c r="M42" s="26"/>
      <c r="N42" s="25"/>
      <c r="O42" s="26"/>
      <c r="P42" s="28">
        <f t="shared" si="5"/>
        <v>1020</v>
      </c>
      <c r="Q42" s="28">
        <f t="shared" si="0"/>
        <v>240</v>
      </c>
      <c r="R42" s="29">
        <f t="shared" si="1"/>
        <v>780</v>
      </c>
      <c r="S42" s="30">
        <f t="shared" si="2"/>
        <v>23.52941176470588</v>
      </c>
      <c r="T42" s="31">
        <f t="shared" si="3"/>
        <v>72.00000000000001</v>
      </c>
      <c r="U42" s="32"/>
    </row>
    <row r="43" spans="2:21" ht="15" customHeight="1">
      <c r="B43" s="22" t="s">
        <v>111</v>
      </c>
      <c r="C43" s="23" t="s">
        <v>112</v>
      </c>
      <c r="D43" s="24">
        <v>24</v>
      </c>
      <c r="E43" s="24"/>
      <c r="F43" s="25"/>
      <c r="G43" s="26">
        <v>1200</v>
      </c>
      <c r="H43" s="25"/>
      <c r="I43" s="26"/>
      <c r="J43" s="25"/>
      <c r="K43" s="26"/>
      <c r="L43" s="25"/>
      <c r="M43" s="26"/>
      <c r="N43" s="25"/>
      <c r="O43" s="26"/>
      <c r="P43" s="28">
        <f t="shared" si="5"/>
        <v>1440</v>
      </c>
      <c r="Q43" s="28">
        <f t="shared" si="0"/>
        <v>1200</v>
      </c>
      <c r="R43" s="29">
        <f t="shared" si="1"/>
        <v>240</v>
      </c>
      <c r="S43" s="30">
        <f t="shared" si="2"/>
        <v>83.33333333333334</v>
      </c>
      <c r="T43" s="31">
        <f t="shared" si="3"/>
        <v>360.00000000000006</v>
      </c>
      <c r="U43" s="32"/>
    </row>
    <row r="44" spans="2:21" ht="15" customHeight="1">
      <c r="B44" s="22" t="s">
        <v>113</v>
      </c>
      <c r="C44" s="23" t="s">
        <v>114</v>
      </c>
      <c r="D44" s="24">
        <v>21</v>
      </c>
      <c r="E44" s="24"/>
      <c r="F44" s="25"/>
      <c r="G44" s="26">
        <v>600</v>
      </c>
      <c r="H44" s="25"/>
      <c r="I44" s="26"/>
      <c r="J44" s="25"/>
      <c r="K44" s="26">
        <v>600</v>
      </c>
      <c r="L44" s="25"/>
      <c r="M44" s="26"/>
      <c r="N44" s="25"/>
      <c r="O44" s="26"/>
      <c r="P44" s="28">
        <f t="shared" si="5"/>
        <v>1260</v>
      </c>
      <c r="Q44" s="28">
        <f t="shared" si="0"/>
        <v>1200</v>
      </c>
      <c r="R44" s="29">
        <f t="shared" si="1"/>
        <v>60</v>
      </c>
      <c r="S44" s="30">
        <f t="shared" si="2"/>
        <v>95.23809523809523</v>
      </c>
      <c r="T44" s="31">
        <f t="shared" si="3"/>
        <v>360.00000000000006</v>
      </c>
      <c r="U44" s="32"/>
    </row>
    <row r="45" spans="2:21" ht="15" customHeight="1">
      <c r="B45" s="22" t="s">
        <v>115</v>
      </c>
      <c r="C45" s="23" t="s">
        <v>116</v>
      </c>
      <c r="D45" s="24">
        <v>18</v>
      </c>
      <c r="E45" s="24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8">
        <f t="shared" si="5"/>
        <v>1080</v>
      </c>
      <c r="Q45" s="28">
        <f t="shared" si="0"/>
        <v>0</v>
      </c>
      <c r="R45" s="29">
        <f t="shared" si="1"/>
        <v>1080</v>
      </c>
      <c r="S45" s="30">
        <f t="shared" si="2"/>
        <v>0</v>
      </c>
      <c r="T45" s="31">
        <f t="shared" si="3"/>
        <v>0</v>
      </c>
      <c r="U45" s="32"/>
    </row>
    <row r="46" spans="2:21" ht="15" customHeight="1">
      <c r="B46" s="22" t="s">
        <v>117</v>
      </c>
      <c r="C46" s="23" t="s">
        <v>118</v>
      </c>
      <c r="D46" s="24">
        <v>16</v>
      </c>
      <c r="E46" s="24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28">
        <f t="shared" si="5"/>
        <v>960</v>
      </c>
      <c r="Q46" s="28">
        <f t="shared" si="0"/>
        <v>0</v>
      </c>
      <c r="R46" s="29">
        <f t="shared" si="1"/>
        <v>960</v>
      </c>
      <c r="S46" s="30">
        <f t="shared" si="2"/>
        <v>0</v>
      </c>
      <c r="T46" s="31">
        <f t="shared" si="3"/>
        <v>0</v>
      </c>
      <c r="U46" s="32"/>
    </row>
    <row r="47" spans="2:21" ht="15" customHeight="1">
      <c r="B47" s="22" t="s">
        <v>119</v>
      </c>
      <c r="C47" s="23" t="s">
        <v>120</v>
      </c>
      <c r="D47" s="24">
        <v>17</v>
      </c>
      <c r="E47" s="24"/>
      <c r="F47" s="25">
        <f>30</f>
        <v>30</v>
      </c>
      <c r="G47" s="26">
        <f>30+330</f>
        <v>360</v>
      </c>
      <c r="H47" s="25"/>
      <c r="I47" s="26"/>
      <c r="J47" s="25"/>
      <c r="K47" s="26"/>
      <c r="L47" s="25"/>
      <c r="M47" s="26"/>
      <c r="N47" s="25"/>
      <c r="O47" s="26"/>
      <c r="P47" s="28">
        <f t="shared" si="5"/>
        <v>1020</v>
      </c>
      <c r="Q47" s="28">
        <f t="shared" si="0"/>
        <v>390</v>
      </c>
      <c r="R47" s="29">
        <f t="shared" si="1"/>
        <v>630</v>
      </c>
      <c r="S47" s="30">
        <f t="shared" si="2"/>
        <v>38.23529411764706</v>
      </c>
      <c r="T47" s="31">
        <f t="shared" si="3"/>
        <v>117.00000000000001</v>
      </c>
      <c r="U47" s="32"/>
    </row>
    <row r="48" spans="2:21" ht="15" customHeight="1">
      <c r="B48" s="22" t="s">
        <v>121</v>
      </c>
      <c r="C48" s="23" t="s">
        <v>122</v>
      </c>
      <c r="D48" s="24">
        <v>22</v>
      </c>
      <c r="E48" s="24"/>
      <c r="F48" s="25"/>
      <c r="G48" s="26">
        <v>450</v>
      </c>
      <c r="H48" s="25"/>
      <c r="I48" s="26"/>
      <c r="J48" s="25"/>
      <c r="K48" s="26"/>
      <c r="L48" s="25"/>
      <c r="M48" s="26"/>
      <c r="N48" s="25"/>
      <c r="O48" s="26"/>
      <c r="P48" s="28">
        <f t="shared" si="5"/>
        <v>1320</v>
      </c>
      <c r="Q48" s="28">
        <f t="shared" si="0"/>
        <v>450</v>
      </c>
      <c r="R48" s="29">
        <f t="shared" si="1"/>
        <v>870</v>
      </c>
      <c r="S48" s="30">
        <f t="shared" si="2"/>
        <v>34.090909090909086</v>
      </c>
      <c r="T48" s="31">
        <f t="shared" si="3"/>
        <v>135.00000000000003</v>
      </c>
      <c r="U48" s="32"/>
    </row>
    <row r="49" spans="2:21" ht="15" customHeight="1">
      <c r="B49" s="22" t="s">
        <v>123</v>
      </c>
      <c r="C49" s="23" t="s">
        <v>124</v>
      </c>
      <c r="D49" s="24">
        <v>20</v>
      </c>
      <c r="E49" s="24"/>
      <c r="F49" s="25"/>
      <c r="G49" s="26"/>
      <c r="H49" s="25"/>
      <c r="I49" s="26"/>
      <c r="J49" s="25">
        <v>60</v>
      </c>
      <c r="K49" s="26"/>
      <c r="L49" s="25"/>
      <c r="M49" s="26"/>
      <c r="N49" s="25"/>
      <c r="O49" s="26"/>
      <c r="P49" s="28">
        <f t="shared" si="5"/>
        <v>1200</v>
      </c>
      <c r="Q49" s="28">
        <f t="shared" si="0"/>
        <v>60</v>
      </c>
      <c r="R49" s="29">
        <f t="shared" si="1"/>
        <v>1140</v>
      </c>
      <c r="S49" s="30">
        <f t="shared" si="2"/>
        <v>5</v>
      </c>
      <c r="T49" s="31">
        <f t="shared" si="3"/>
        <v>18.000000000000004</v>
      </c>
      <c r="U49" s="32"/>
    </row>
    <row r="50" spans="2:21" ht="15" customHeight="1">
      <c r="B50" s="34"/>
      <c r="C50" s="35" t="s">
        <v>125</v>
      </c>
      <c r="D50" s="36">
        <f>SUM(D4:D49)</f>
        <v>1035</v>
      </c>
      <c r="E50" s="36"/>
      <c r="F50" s="37">
        <f aca="true" t="shared" si="6" ref="F50:R50">SUM(F4:F49)</f>
        <v>2340</v>
      </c>
      <c r="G50" s="37">
        <f t="shared" si="6"/>
        <v>11377.41</v>
      </c>
      <c r="H50" s="37">
        <f t="shared" si="6"/>
        <v>4198</v>
      </c>
      <c r="I50" s="37">
        <f t="shared" si="6"/>
        <v>0</v>
      </c>
      <c r="J50" s="37">
        <f t="shared" si="6"/>
        <v>60</v>
      </c>
      <c r="K50" s="37">
        <f t="shared" si="6"/>
        <v>690</v>
      </c>
      <c r="L50" s="37">
        <f t="shared" si="6"/>
        <v>0</v>
      </c>
      <c r="M50" s="37">
        <f t="shared" si="6"/>
        <v>0</v>
      </c>
      <c r="N50" s="37">
        <f t="shared" si="6"/>
        <v>0</v>
      </c>
      <c r="O50" s="37">
        <f t="shared" si="6"/>
        <v>0</v>
      </c>
      <c r="P50" s="38">
        <f t="shared" si="6"/>
        <v>62100</v>
      </c>
      <c r="Q50" s="38">
        <f t="shared" si="6"/>
        <v>18665.41</v>
      </c>
      <c r="R50" s="39">
        <f t="shared" si="6"/>
        <v>43434.59</v>
      </c>
      <c r="S50" s="40">
        <f t="shared" si="2"/>
        <v>30.05702093397746</v>
      </c>
      <c r="T50" s="41">
        <f>SUM(T4:T49)</f>
        <v>6013.6230000000005</v>
      </c>
      <c r="U50" s="32"/>
    </row>
    <row r="51" spans="2:21" ht="12.75" customHeight="1">
      <c r="B51" s="9"/>
      <c r="C51" s="9"/>
      <c r="D51" s="312" t="s">
        <v>15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313" t="s">
        <v>27</v>
      </c>
      <c r="Q51" s="314" t="s">
        <v>28</v>
      </c>
      <c r="R51" s="315" t="s">
        <v>29</v>
      </c>
      <c r="S51" s="315" t="s">
        <v>30</v>
      </c>
      <c r="T51" s="316" t="s">
        <v>31</v>
      </c>
      <c r="U51" s="9"/>
    </row>
    <row r="52" spans="2:21" ht="20.25" customHeight="1">
      <c r="B52" s="9"/>
      <c r="C52" s="9"/>
      <c r="D52" s="312"/>
      <c r="E52" s="42"/>
      <c r="F52" s="42"/>
      <c r="G52" s="42"/>
      <c r="H52" s="42"/>
      <c r="I52" s="42"/>
      <c r="J52"/>
      <c r="K52" s="42"/>
      <c r="L52" s="42"/>
      <c r="M52" s="42"/>
      <c r="N52" s="42"/>
      <c r="O52" s="42"/>
      <c r="P52" s="313"/>
      <c r="Q52" s="313"/>
      <c r="R52" s="315"/>
      <c r="S52" s="315"/>
      <c r="T52" s="316"/>
      <c r="U52" s="9"/>
    </row>
    <row r="53" spans="2:21" ht="20.25" customHeight="1">
      <c r="B53" s="9"/>
      <c r="C53" s="9"/>
      <c r="D53" s="31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13"/>
      <c r="Q53" s="313"/>
      <c r="R53" s="315"/>
      <c r="S53" s="315"/>
      <c r="T53" s="316"/>
      <c r="U53" s="9"/>
    </row>
    <row r="54" spans="2:21" ht="36" customHeight="1">
      <c r="B54" s="9"/>
      <c r="C54" s="9"/>
      <c r="D54" s="312"/>
      <c r="E54" s="42"/>
      <c r="F54" s="42"/>
      <c r="G54" s="42"/>
      <c r="H54"/>
      <c r="I54" s="42"/>
      <c r="J54" s="42"/>
      <c r="K54" s="42"/>
      <c r="L54" s="42"/>
      <c r="M54" s="42"/>
      <c r="N54" s="42"/>
      <c r="O54" s="42"/>
      <c r="P54" s="313"/>
      <c r="Q54" s="313"/>
      <c r="R54" s="315"/>
      <c r="S54" s="315"/>
      <c r="T54" s="316"/>
      <c r="U54" s="9"/>
    </row>
    <row r="55" ht="14.25" customHeight="1"/>
    <row r="56" ht="14.25" customHeight="1"/>
    <row r="57" spans="2:15" ht="14.25">
      <c r="B57" s="7"/>
      <c r="C57" s="317" t="s">
        <v>126</v>
      </c>
      <c r="D57" s="317"/>
      <c r="E57" s="317"/>
      <c r="F57" s="317"/>
      <c r="G57" s="317"/>
      <c r="H57" s="318" t="s">
        <v>127</v>
      </c>
      <c r="I57" s="318"/>
      <c r="J57" s="318"/>
      <c r="K57" s="318"/>
      <c r="L57" s="318"/>
      <c r="M57" s="43"/>
      <c r="N57" s="43"/>
      <c r="O57" s="6"/>
    </row>
    <row r="58" spans="2:22" ht="14.25">
      <c r="B58" s="44"/>
      <c r="C58" s="319">
        <f>$Q$50*0.7</f>
        <v>13065.787</v>
      </c>
      <c r="D58" s="319"/>
      <c r="E58" s="319"/>
      <c r="F58" s="319"/>
      <c r="G58" s="319"/>
      <c r="H58" s="320">
        <f>T50</f>
        <v>6013.6230000000005</v>
      </c>
      <c r="I58" s="320"/>
      <c r="J58" s="320"/>
      <c r="K58" s="320"/>
      <c r="L58" s="320"/>
      <c r="M58" s="45"/>
      <c r="N58" s="45"/>
      <c r="O58" s="46"/>
      <c r="P58" s="46"/>
      <c r="Q58" s="46"/>
      <c r="R58" s="46"/>
      <c r="S58" s="46"/>
      <c r="T58" s="47"/>
      <c r="U58" s="47"/>
      <c r="V58" s="47"/>
    </row>
  </sheetData>
  <sheetProtection selectLockedCells="1" selectUnlockedCells="1"/>
  <mergeCells count="12">
    <mergeCell ref="S51:S54"/>
    <mergeCell ref="T51:T54"/>
    <mergeCell ref="C57:G57"/>
    <mergeCell ref="H57:L57"/>
    <mergeCell ref="C58:G58"/>
    <mergeCell ref="H58:L58"/>
    <mergeCell ref="B1:O1"/>
    <mergeCell ref="C2:J2"/>
    <mergeCell ref="D51:D54"/>
    <mergeCell ref="P51:P54"/>
    <mergeCell ref="Q51:Q54"/>
    <mergeCell ref="R51:R54"/>
  </mergeCells>
  <printOptions horizontalCentered="1" verticalCentered="1"/>
  <pageMargins left="0.25" right="0.25" top="0.75" bottom="0.75" header="0.5118055555555555" footer="0.5118055555555555"/>
  <pageSetup fitToWidth="0" fitToHeight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J23" sqref="J23"/>
    </sheetView>
  </sheetViews>
  <sheetFormatPr defaultColWidth="11.57421875" defaultRowHeight="15"/>
  <cols>
    <col min="1" max="1" width="9.140625" style="48" customWidth="1"/>
    <col min="2" max="2" width="42.28125" style="48" customWidth="1"/>
    <col min="3" max="3" width="6.00390625" style="48" customWidth="1"/>
    <col min="4" max="4" width="5.57421875" style="48" customWidth="1"/>
    <col min="5" max="15" width="6.7109375" style="48" customWidth="1"/>
    <col min="16" max="253" width="9.140625" style="48" customWidth="1"/>
  </cols>
  <sheetData>
    <row r="1" spans="1:18" ht="44.25" customHeight="1">
      <c r="A1" s="49"/>
      <c r="B1" s="321" t="s">
        <v>128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50"/>
      <c r="Q1" s="50"/>
      <c r="R1" s="50"/>
    </row>
    <row r="2" spans="1:18" ht="14.25">
      <c r="A2" s="49"/>
      <c r="B2" s="51" t="s">
        <v>12</v>
      </c>
      <c r="C2" s="322">
        <f>Wstęp!$E$21</f>
        <v>44242</v>
      </c>
      <c r="D2" s="322"/>
      <c r="E2" s="322"/>
      <c r="F2" s="322"/>
      <c r="G2" s="322"/>
      <c r="H2" s="322"/>
      <c r="I2" s="322"/>
      <c r="J2" s="322"/>
      <c r="K2" s="322"/>
      <c r="L2" s="52"/>
      <c r="M2" s="52"/>
      <c r="N2" s="52"/>
      <c r="O2" s="52"/>
      <c r="P2" s="49"/>
      <c r="Q2" s="49"/>
      <c r="R2" s="49"/>
    </row>
    <row r="3" spans="1:18" ht="93" customHeight="1">
      <c r="A3" s="49"/>
      <c r="B3" s="53" t="s">
        <v>13</v>
      </c>
      <c r="C3" s="54" t="s">
        <v>14</v>
      </c>
      <c r="D3" s="55" t="s">
        <v>15</v>
      </c>
      <c r="E3" s="56" t="s">
        <v>129</v>
      </c>
      <c r="F3" s="56" t="s">
        <v>17</v>
      </c>
      <c r="G3" s="57" t="s">
        <v>18</v>
      </c>
      <c r="H3" s="56" t="s">
        <v>19</v>
      </c>
      <c r="I3" s="57" t="s">
        <v>20</v>
      </c>
      <c r="J3" s="56" t="s">
        <v>21</v>
      </c>
      <c r="K3" s="57" t="s">
        <v>22</v>
      </c>
      <c r="L3" s="56" t="s">
        <v>23</v>
      </c>
      <c r="M3" s="57" t="s">
        <v>24</v>
      </c>
      <c r="N3" s="56" t="s">
        <v>25</v>
      </c>
      <c r="O3" s="57" t="s">
        <v>26</v>
      </c>
      <c r="P3" s="58" t="s">
        <v>130</v>
      </c>
      <c r="Q3" s="58" t="s">
        <v>131</v>
      </c>
      <c r="R3" s="59" t="s">
        <v>132</v>
      </c>
    </row>
    <row r="4" spans="1:18" ht="15">
      <c r="A4" s="49"/>
      <c r="B4" s="60" t="s">
        <v>133</v>
      </c>
      <c r="C4" s="61" t="s">
        <v>134</v>
      </c>
      <c r="D4" s="62">
        <v>21</v>
      </c>
      <c r="E4" s="63"/>
      <c r="F4" s="63"/>
      <c r="G4" s="64"/>
      <c r="H4" s="63"/>
      <c r="I4" s="64"/>
      <c r="J4" s="63"/>
      <c r="K4" s="64"/>
      <c r="L4" s="63"/>
      <c r="M4" s="64"/>
      <c r="N4" s="63"/>
      <c r="O4" s="64"/>
      <c r="P4" s="65">
        <f aca="true" t="shared" si="0" ref="P4:P35">(D4*4*10)</f>
        <v>840</v>
      </c>
      <c r="Q4" s="65">
        <f aca="true" t="shared" si="1" ref="Q4:Q35">SUM(F4:O4)+E4</f>
        <v>0</v>
      </c>
      <c r="R4" s="66">
        <f aca="true" t="shared" si="2" ref="R4:R35">(Q4/P4)*100</f>
        <v>0</v>
      </c>
    </row>
    <row r="5" spans="1:18" ht="15">
      <c r="A5" s="49"/>
      <c r="B5" s="60" t="s">
        <v>135</v>
      </c>
      <c r="C5" s="61" t="s">
        <v>136</v>
      </c>
      <c r="D5" s="62">
        <v>25</v>
      </c>
      <c r="E5" s="63"/>
      <c r="F5" s="63"/>
      <c r="G5" s="64"/>
      <c r="H5" s="63"/>
      <c r="I5" s="64"/>
      <c r="J5" s="63"/>
      <c r="K5" s="64"/>
      <c r="L5" s="63"/>
      <c r="M5" s="64"/>
      <c r="N5" s="63"/>
      <c r="O5" s="64"/>
      <c r="P5" s="65">
        <f t="shared" si="0"/>
        <v>1000</v>
      </c>
      <c r="Q5" s="65">
        <f t="shared" si="1"/>
        <v>0</v>
      </c>
      <c r="R5" s="66">
        <f t="shared" si="2"/>
        <v>0</v>
      </c>
    </row>
    <row r="6" spans="1:18" ht="15">
      <c r="A6" s="49"/>
      <c r="B6" s="60" t="s">
        <v>137</v>
      </c>
      <c r="C6" s="61" t="s">
        <v>138</v>
      </c>
      <c r="D6" s="62">
        <v>25</v>
      </c>
      <c r="E6" s="63"/>
      <c r="F6" s="63"/>
      <c r="G6" s="64"/>
      <c r="H6" s="63"/>
      <c r="I6" s="64"/>
      <c r="J6" s="63"/>
      <c r="K6" s="64"/>
      <c r="L6" s="63"/>
      <c r="M6" s="64"/>
      <c r="N6" s="63"/>
      <c r="O6" s="64"/>
      <c r="P6" s="65">
        <f t="shared" si="0"/>
        <v>1000</v>
      </c>
      <c r="Q6" s="65">
        <f t="shared" si="1"/>
        <v>0</v>
      </c>
      <c r="R6" s="66">
        <f t="shared" si="2"/>
        <v>0</v>
      </c>
    </row>
    <row r="7" spans="1:18" ht="15">
      <c r="A7" s="49"/>
      <c r="B7" s="60" t="s">
        <v>139</v>
      </c>
      <c r="C7" s="61" t="s">
        <v>140</v>
      </c>
      <c r="D7" s="62">
        <v>25</v>
      </c>
      <c r="E7" s="63"/>
      <c r="F7" s="63"/>
      <c r="G7" s="64"/>
      <c r="H7" s="63"/>
      <c r="I7" s="64"/>
      <c r="J7" s="63"/>
      <c r="K7" s="64"/>
      <c r="L7" s="63"/>
      <c r="M7" s="64"/>
      <c r="N7" s="63"/>
      <c r="O7" s="64"/>
      <c r="P7" s="65">
        <f t="shared" si="0"/>
        <v>1000</v>
      </c>
      <c r="Q7" s="65">
        <f t="shared" si="1"/>
        <v>0</v>
      </c>
      <c r="R7" s="66">
        <f t="shared" si="2"/>
        <v>0</v>
      </c>
    </row>
    <row r="8" spans="1:18" ht="15">
      <c r="A8" s="49"/>
      <c r="B8" s="60" t="s">
        <v>141</v>
      </c>
      <c r="C8" s="61" t="s">
        <v>142</v>
      </c>
      <c r="D8" s="62">
        <v>22</v>
      </c>
      <c r="E8" s="63"/>
      <c r="F8" s="63"/>
      <c r="G8" s="64"/>
      <c r="H8" s="63"/>
      <c r="I8" s="64"/>
      <c r="J8" s="63"/>
      <c r="K8" s="64"/>
      <c r="L8" s="63"/>
      <c r="M8" s="64"/>
      <c r="N8" s="63"/>
      <c r="O8" s="64"/>
      <c r="P8" s="65">
        <f t="shared" si="0"/>
        <v>880</v>
      </c>
      <c r="Q8" s="65">
        <f t="shared" si="1"/>
        <v>0</v>
      </c>
      <c r="R8" s="66">
        <f t="shared" si="2"/>
        <v>0</v>
      </c>
    </row>
    <row r="9" spans="1:18" ht="15">
      <c r="A9" s="49"/>
      <c r="B9" s="60" t="s">
        <v>33</v>
      </c>
      <c r="C9" s="61" t="s">
        <v>34</v>
      </c>
      <c r="D9" s="62">
        <v>25</v>
      </c>
      <c r="E9" s="63"/>
      <c r="F9" s="63">
        <v>500</v>
      </c>
      <c r="G9" s="64"/>
      <c r="H9" s="63"/>
      <c r="I9" s="64"/>
      <c r="J9" s="63"/>
      <c r="K9" s="64"/>
      <c r="L9" s="63"/>
      <c r="M9" s="64"/>
      <c r="N9" s="63"/>
      <c r="O9" s="64"/>
      <c r="P9" s="65">
        <f t="shared" si="0"/>
        <v>1000</v>
      </c>
      <c r="Q9" s="65">
        <f t="shared" si="1"/>
        <v>500</v>
      </c>
      <c r="R9" s="66">
        <f t="shared" si="2"/>
        <v>50</v>
      </c>
    </row>
    <row r="10" spans="1:18" ht="15">
      <c r="A10" s="49"/>
      <c r="B10" s="60" t="s">
        <v>35</v>
      </c>
      <c r="C10" s="61" t="s">
        <v>36</v>
      </c>
      <c r="D10" s="62">
        <v>21</v>
      </c>
      <c r="E10" s="67"/>
      <c r="F10" s="67"/>
      <c r="G10" s="68"/>
      <c r="H10" s="67">
        <f>18*20</f>
        <v>360</v>
      </c>
      <c r="I10" s="69"/>
      <c r="J10" s="67"/>
      <c r="K10" s="68"/>
      <c r="L10" s="67"/>
      <c r="M10" s="68"/>
      <c r="N10" s="67"/>
      <c r="O10" s="69"/>
      <c r="P10" s="65">
        <f t="shared" si="0"/>
        <v>840</v>
      </c>
      <c r="Q10" s="65">
        <f t="shared" si="1"/>
        <v>360</v>
      </c>
      <c r="R10" s="66">
        <f t="shared" si="2"/>
        <v>42.857142857142854</v>
      </c>
    </row>
    <row r="11" spans="1:18" ht="15">
      <c r="A11" s="49"/>
      <c r="B11" s="60" t="s">
        <v>37</v>
      </c>
      <c r="C11" s="61" t="s">
        <v>38</v>
      </c>
      <c r="D11" s="62">
        <v>22</v>
      </c>
      <c r="E11" s="67"/>
      <c r="F11" s="67"/>
      <c r="G11" s="68"/>
      <c r="H11" s="67">
        <v>440</v>
      </c>
      <c r="I11" s="68"/>
      <c r="J11" s="67"/>
      <c r="K11" s="68"/>
      <c r="L11" s="67"/>
      <c r="M11" s="68"/>
      <c r="N11" s="67"/>
      <c r="O11" s="68"/>
      <c r="P11" s="65">
        <f t="shared" si="0"/>
        <v>880</v>
      </c>
      <c r="Q11" s="65">
        <f t="shared" si="1"/>
        <v>440</v>
      </c>
      <c r="R11" s="66">
        <f t="shared" si="2"/>
        <v>50</v>
      </c>
    </row>
    <row r="12" spans="1:18" ht="15">
      <c r="A12" s="49"/>
      <c r="B12" s="60" t="s">
        <v>39</v>
      </c>
      <c r="C12" s="61" t="s">
        <v>40</v>
      </c>
      <c r="D12" s="62">
        <v>21</v>
      </c>
      <c r="E12" s="67"/>
      <c r="F12" s="67"/>
      <c r="G12" s="68">
        <f>12*20</f>
        <v>240</v>
      </c>
      <c r="H12" s="67"/>
      <c r="I12" s="68"/>
      <c r="J12" s="67"/>
      <c r="K12" s="68"/>
      <c r="L12" s="67"/>
      <c r="M12" s="68"/>
      <c r="N12" s="67"/>
      <c r="O12" s="68"/>
      <c r="P12" s="65">
        <f t="shared" si="0"/>
        <v>840</v>
      </c>
      <c r="Q12" s="65">
        <f t="shared" si="1"/>
        <v>240</v>
      </c>
      <c r="R12" s="66">
        <f t="shared" si="2"/>
        <v>28.57142857142857</v>
      </c>
    </row>
    <row r="13" spans="1:18" ht="15">
      <c r="A13" s="49"/>
      <c r="B13" s="60" t="s">
        <v>41</v>
      </c>
      <c r="C13" s="61" t="s">
        <v>42</v>
      </c>
      <c r="D13" s="62">
        <v>20</v>
      </c>
      <c r="E13" s="67"/>
      <c r="F13" s="67"/>
      <c r="G13" s="68"/>
      <c r="H13" s="67">
        <v>380</v>
      </c>
      <c r="I13" s="68"/>
      <c r="J13" s="67"/>
      <c r="K13" s="68"/>
      <c r="L13" s="67"/>
      <c r="M13" s="68"/>
      <c r="N13" s="67"/>
      <c r="O13" s="68"/>
      <c r="P13" s="65">
        <f t="shared" si="0"/>
        <v>800</v>
      </c>
      <c r="Q13" s="65">
        <f t="shared" si="1"/>
        <v>380</v>
      </c>
      <c r="R13" s="66">
        <f t="shared" si="2"/>
        <v>47.5</v>
      </c>
    </row>
    <row r="14" spans="1:18" ht="15">
      <c r="A14" s="49"/>
      <c r="B14" s="60" t="s">
        <v>43</v>
      </c>
      <c r="C14" s="61" t="s">
        <v>44</v>
      </c>
      <c r="D14" s="62">
        <v>18</v>
      </c>
      <c r="E14" s="63">
        <v>403</v>
      </c>
      <c r="F14" s="67">
        <f>20</f>
        <v>20</v>
      </c>
      <c r="G14" s="68"/>
      <c r="H14" s="67">
        <v>180</v>
      </c>
      <c r="I14" s="68"/>
      <c r="J14" s="67"/>
      <c r="K14" s="68"/>
      <c r="L14" s="67"/>
      <c r="M14" s="68"/>
      <c r="N14" s="67"/>
      <c r="O14" s="68"/>
      <c r="P14" s="65">
        <f t="shared" si="0"/>
        <v>720</v>
      </c>
      <c r="Q14" s="65">
        <f t="shared" si="1"/>
        <v>603</v>
      </c>
      <c r="R14" s="66">
        <f t="shared" si="2"/>
        <v>83.75</v>
      </c>
    </row>
    <row r="15" spans="1:18" ht="15">
      <c r="A15" s="49"/>
      <c r="B15" s="60" t="s">
        <v>45</v>
      </c>
      <c r="C15" s="61" t="s">
        <v>46</v>
      </c>
      <c r="D15" s="62">
        <v>20</v>
      </c>
      <c r="E15" s="67">
        <v>648</v>
      </c>
      <c r="F15" s="67">
        <f>17*20</f>
        <v>340</v>
      </c>
      <c r="G15" s="68"/>
      <c r="H15" s="67"/>
      <c r="I15" s="68"/>
      <c r="J15" s="67"/>
      <c r="K15" s="68"/>
      <c r="L15" s="67"/>
      <c r="M15" s="68"/>
      <c r="N15" s="67"/>
      <c r="O15" s="68"/>
      <c r="P15" s="65">
        <f t="shared" si="0"/>
        <v>800</v>
      </c>
      <c r="Q15" s="65">
        <f t="shared" si="1"/>
        <v>988</v>
      </c>
      <c r="R15" s="66">
        <f t="shared" si="2"/>
        <v>123.50000000000001</v>
      </c>
    </row>
    <row r="16" spans="1:18" ht="15">
      <c r="A16" s="49"/>
      <c r="B16" s="60" t="s">
        <v>47</v>
      </c>
      <c r="C16" s="61" t="s">
        <v>48</v>
      </c>
      <c r="D16" s="62">
        <v>20</v>
      </c>
      <c r="E16" s="67">
        <v>398</v>
      </c>
      <c r="F16" s="67"/>
      <c r="G16" s="68">
        <v>200</v>
      </c>
      <c r="H16" s="67"/>
      <c r="I16" s="68"/>
      <c r="J16" s="67"/>
      <c r="K16" s="68"/>
      <c r="L16" s="67"/>
      <c r="M16" s="68"/>
      <c r="N16" s="67"/>
      <c r="O16" s="68"/>
      <c r="P16" s="65">
        <f t="shared" si="0"/>
        <v>800</v>
      </c>
      <c r="Q16" s="65">
        <f t="shared" si="1"/>
        <v>598</v>
      </c>
      <c r="R16" s="66">
        <f t="shared" si="2"/>
        <v>74.75</v>
      </c>
    </row>
    <row r="17" spans="1:18" ht="15">
      <c r="A17" s="49"/>
      <c r="B17" s="60" t="s">
        <v>49</v>
      </c>
      <c r="C17" s="61" t="s">
        <v>50</v>
      </c>
      <c r="D17" s="62">
        <v>19</v>
      </c>
      <c r="E17" s="67">
        <v>648</v>
      </c>
      <c r="F17" s="67"/>
      <c r="G17" s="68"/>
      <c r="H17" s="67"/>
      <c r="I17" s="68"/>
      <c r="J17" s="67"/>
      <c r="K17" s="68"/>
      <c r="L17" s="67"/>
      <c r="M17" s="68"/>
      <c r="N17" s="67"/>
      <c r="O17" s="68"/>
      <c r="P17" s="65">
        <f t="shared" si="0"/>
        <v>760</v>
      </c>
      <c r="Q17" s="65">
        <f t="shared" si="1"/>
        <v>648</v>
      </c>
      <c r="R17" s="66">
        <f t="shared" si="2"/>
        <v>85.26315789473684</v>
      </c>
    </row>
    <row r="18" spans="1:18" ht="15">
      <c r="A18" s="49"/>
      <c r="B18" s="60" t="s">
        <v>51</v>
      </c>
      <c r="C18" s="61" t="s">
        <v>52</v>
      </c>
      <c r="D18" s="62">
        <v>22</v>
      </c>
      <c r="E18" s="67">
        <v>61</v>
      </c>
      <c r="F18" s="67"/>
      <c r="G18" s="68"/>
      <c r="H18" s="67"/>
      <c r="I18" s="68"/>
      <c r="J18" s="67"/>
      <c r="K18" s="68"/>
      <c r="L18" s="67"/>
      <c r="M18" s="68"/>
      <c r="N18" s="67"/>
      <c r="O18" s="68"/>
      <c r="P18" s="65">
        <f t="shared" si="0"/>
        <v>880</v>
      </c>
      <c r="Q18" s="65">
        <f t="shared" si="1"/>
        <v>61</v>
      </c>
      <c r="R18" s="66">
        <f t="shared" si="2"/>
        <v>6.931818181818182</v>
      </c>
    </row>
    <row r="19" spans="1:18" ht="15">
      <c r="A19" s="49"/>
      <c r="B19" s="60" t="s">
        <v>53</v>
      </c>
      <c r="C19" s="61" t="s">
        <v>54</v>
      </c>
      <c r="D19" s="62">
        <v>22</v>
      </c>
      <c r="E19" s="67">
        <v>-184</v>
      </c>
      <c r="F19" s="67">
        <f>20+20+20</f>
        <v>60</v>
      </c>
      <c r="G19" s="68">
        <f>40+20+20+20+40</f>
        <v>140</v>
      </c>
      <c r="H19" s="67">
        <f>30</f>
        <v>30</v>
      </c>
      <c r="I19" s="68"/>
      <c r="J19" s="67"/>
      <c r="K19" s="68"/>
      <c r="L19" s="67"/>
      <c r="M19" s="68"/>
      <c r="N19" s="67"/>
      <c r="O19" s="68"/>
      <c r="P19" s="65">
        <f t="shared" si="0"/>
        <v>880</v>
      </c>
      <c r="Q19" s="65">
        <f t="shared" si="1"/>
        <v>46</v>
      </c>
      <c r="R19" s="66">
        <f t="shared" si="2"/>
        <v>5.227272727272727</v>
      </c>
    </row>
    <row r="20" spans="1:18" ht="15">
      <c r="A20" s="49"/>
      <c r="B20" s="60" t="s">
        <v>55</v>
      </c>
      <c r="C20" s="61" t="s">
        <v>56</v>
      </c>
      <c r="D20" s="62">
        <v>24</v>
      </c>
      <c r="E20" s="67">
        <v>339</v>
      </c>
      <c r="F20" s="67"/>
      <c r="G20" s="68">
        <f>20+440</f>
        <v>460</v>
      </c>
      <c r="H20" s="67"/>
      <c r="I20" s="68"/>
      <c r="J20" s="67"/>
      <c r="K20" s="68"/>
      <c r="L20" s="67"/>
      <c r="M20" s="68"/>
      <c r="N20" s="67"/>
      <c r="O20" s="68"/>
      <c r="P20" s="65">
        <f t="shared" si="0"/>
        <v>960</v>
      </c>
      <c r="Q20" s="65">
        <f t="shared" si="1"/>
        <v>799</v>
      </c>
      <c r="R20" s="66">
        <f t="shared" si="2"/>
        <v>83.22916666666667</v>
      </c>
    </row>
    <row r="21" spans="1:18" ht="15">
      <c r="A21" s="49"/>
      <c r="B21" s="60" t="s">
        <v>57</v>
      </c>
      <c r="C21" s="61" t="s">
        <v>58</v>
      </c>
      <c r="D21" s="62">
        <v>27</v>
      </c>
      <c r="E21" s="67">
        <v>892</v>
      </c>
      <c r="F21" s="67"/>
      <c r="G21" s="68">
        <f>27*20</f>
        <v>540</v>
      </c>
      <c r="H21" s="67"/>
      <c r="I21" s="68"/>
      <c r="J21" s="67"/>
      <c r="K21" s="68"/>
      <c r="L21" s="67"/>
      <c r="M21" s="68"/>
      <c r="N21" s="67"/>
      <c r="O21" s="68"/>
      <c r="P21" s="65">
        <f t="shared" si="0"/>
        <v>1080</v>
      </c>
      <c r="Q21" s="65">
        <f t="shared" si="1"/>
        <v>1432</v>
      </c>
      <c r="R21" s="66">
        <f t="shared" si="2"/>
        <v>132.5925925925926</v>
      </c>
    </row>
    <row r="22" spans="1:18" ht="15">
      <c r="A22" s="49"/>
      <c r="B22" s="60" t="s">
        <v>59</v>
      </c>
      <c r="C22" s="61" t="s">
        <v>60</v>
      </c>
      <c r="D22" s="62">
        <v>26</v>
      </c>
      <c r="E22" s="67">
        <v>892</v>
      </c>
      <c r="F22" s="67"/>
      <c r="G22" s="68">
        <v>148</v>
      </c>
      <c r="H22" s="67"/>
      <c r="I22" s="68"/>
      <c r="J22" s="67"/>
      <c r="K22" s="68"/>
      <c r="L22" s="67"/>
      <c r="M22" s="68"/>
      <c r="N22" s="67"/>
      <c r="O22" s="68"/>
      <c r="P22" s="65">
        <f t="shared" si="0"/>
        <v>1040</v>
      </c>
      <c r="Q22" s="65">
        <f t="shared" si="1"/>
        <v>1040</v>
      </c>
      <c r="R22" s="66">
        <f t="shared" si="2"/>
        <v>100</v>
      </c>
    </row>
    <row r="23" spans="1:18" ht="15.75">
      <c r="A23" s="49"/>
      <c r="B23" s="60" t="s">
        <v>61</v>
      </c>
      <c r="C23" s="61" t="s">
        <v>62</v>
      </c>
      <c r="D23" s="62">
        <v>27</v>
      </c>
      <c r="E23" s="67">
        <v>682</v>
      </c>
      <c r="F23" s="67"/>
      <c r="G23" s="68">
        <v>197.7</v>
      </c>
      <c r="H23" s="67"/>
      <c r="I23" s="68"/>
      <c r="J23" s="67"/>
      <c r="K23" s="68">
        <v>15.06</v>
      </c>
      <c r="L23" s="67"/>
      <c r="M23" s="68"/>
      <c r="N23" s="67"/>
      <c r="O23" s="68"/>
      <c r="P23" s="65">
        <f t="shared" si="0"/>
        <v>1080</v>
      </c>
      <c r="Q23" s="65">
        <f t="shared" si="1"/>
        <v>894.76</v>
      </c>
      <c r="R23" s="66">
        <f t="shared" si="2"/>
        <v>82.84814814814816</v>
      </c>
    </row>
    <row r="24" spans="1:18" ht="15.75">
      <c r="A24" s="49"/>
      <c r="B24" s="60" t="s">
        <v>63</v>
      </c>
      <c r="C24" s="61" t="s">
        <v>64</v>
      </c>
      <c r="D24" s="62">
        <v>27</v>
      </c>
      <c r="E24" s="67">
        <v>828</v>
      </c>
      <c r="F24" s="67"/>
      <c r="G24" s="68"/>
      <c r="H24" s="67"/>
      <c r="I24" s="68"/>
      <c r="J24" s="67"/>
      <c r="K24" s="68"/>
      <c r="L24" s="67"/>
      <c r="M24" s="68"/>
      <c r="N24" s="67"/>
      <c r="O24" s="68"/>
      <c r="P24" s="65">
        <f t="shared" si="0"/>
        <v>1080</v>
      </c>
      <c r="Q24" s="65">
        <f t="shared" si="1"/>
        <v>828</v>
      </c>
      <c r="R24" s="66">
        <f t="shared" si="2"/>
        <v>76.66666666666667</v>
      </c>
    </row>
    <row r="25" spans="1:18" ht="15">
      <c r="A25" s="49"/>
      <c r="B25" s="60" t="s">
        <v>65</v>
      </c>
      <c r="C25" s="61" t="s">
        <v>66</v>
      </c>
      <c r="D25" s="62">
        <v>25</v>
      </c>
      <c r="E25" s="67">
        <v>99</v>
      </c>
      <c r="F25" s="67"/>
      <c r="G25" s="68">
        <v>500</v>
      </c>
      <c r="H25" s="67"/>
      <c r="I25" s="68"/>
      <c r="J25" s="67"/>
      <c r="K25" s="68"/>
      <c r="L25" s="67"/>
      <c r="M25" s="68"/>
      <c r="N25" s="67"/>
      <c r="O25" s="68"/>
      <c r="P25" s="65">
        <f t="shared" si="0"/>
        <v>1000</v>
      </c>
      <c r="Q25" s="65">
        <f t="shared" si="1"/>
        <v>599</v>
      </c>
      <c r="R25" s="66">
        <f t="shared" si="2"/>
        <v>59.9</v>
      </c>
    </row>
    <row r="26" spans="1:18" ht="15">
      <c r="A26" s="49"/>
      <c r="B26" s="60" t="s">
        <v>67</v>
      </c>
      <c r="C26" s="61" t="s">
        <v>68</v>
      </c>
      <c r="D26" s="62">
        <v>25</v>
      </c>
      <c r="E26" s="67">
        <v>146</v>
      </c>
      <c r="F26" s="67">
        <f>20+420</f>
        <v>440</v>
      </c>
      <c r="G26" s="68">
        <v>414</v>
      </c>
      <c r="H26" s="67"/>
      <c r="I26" s="68"/>
      <c r="J26" s="67"/>
      <c r="K26" s="68"/>
      <c r="L26" s="67"/>
      <c r="M26" s="68"/>
      <c r="N26" s="67"/>
      <c r="O26" s="68"/>
      <c r="P26" s="65">
        <f t="shared" si="0"/>
        <v>1000</v>
      </c>
      <c r="Q26" s="65">
        <f t="shared" si="1"/>
        <v>1000</v>
      </c>
      <c r="R26" s="66">
        <f t="shared" si="2"/>
        <v>100</v>
      </c>
    </row>
    <row r="27" spans="1:18" ht="15">
      <c r="A27" s="49"/>
      <c r="B27" s="60" t="s">
        <v>69</v>
      </c>
      <c r="C27" s="61" t="s">
        <v>70</v>
      </c>
      <c r="D27" s="62">
        <v>25</v>
      </c>
      <c r="E27" s="67">
        <v>669</v>
      </c>
      <c r="F27" s="67"/>
      <c r="G27" s="68"/>
      <c r="H27" s="67"/>
      <c r="I27" s="68"/>
      <c r="J27" s="67"/>
      <c r="K27" s="68"/>
      <c r="L27" s="67"/>
      <c r="M27" s="68"/>
      <c r="N27" s="67"/>
      <c r="O27" s="68"/>
      <c r="P27" s="65">
        <f t="shared" si="0"/>
        <v>1000</v>
      </c>
      <c r="Q27" s="65">
        <f t="shared" si="1"/>
        <v>669</v>
      </c>
      <c r="R27" s="66">
        <f t="shared" si="2"/>
        <v>66.9</v>
      </c>
    </row>
    <row r="28" spans="1:18" ht="15">
      <c r="A28" s="49"/>
      <c r="B28" s="60" t="s">
        <v>143</v>
      </c>
      <c r="C28" s="61" t="s">
        <v>72</v>
      </c>
      <c r="D28" s="62">
        <v>25</v>
      </c>
      <c r="E28" s="67">
        <v>755</v>
      </c>
      <c r="F28" s="67"/>
      <c r="G28" s="68"/>
      <c r="H28" s="67"/>
      <c r="I28" s="68"/>
      <c r="J28" s="67"/>
      <c r="K28" s="68"/>
      <c r="L28" s="67"/>
      <c r="M28" s="68"/>
      <c r="N28" s="67"/>
      <c r="O28" s="68"/>
      <c r="P28" s="65">
        <f t="shared" si="0"/>
        <v>1000</v>
      </c>
      <c r="Q28" s="65">
        <f t="shared" si="1"/>
        <v>755</v>
      </c>
      <c r="R28" s="66">
        <f t="shared" si="2"/>
        <v>75.5</v>
      </c>
    </row>
    <row r="29" spans="1:18" ht="15">
      <c r="A29" s="49"/>
      <c r="B29" s="60" t="s">
        <v>73</v>
      </c>
      <c r="C29" s="61" t="s">
        <v>74</v>
      </c>
      <c r="D29" s="62">
        <v>26</v>
      </c>
      <c r="E29" s="67"/>
      <c r="F29" s="67"/>
      <c r="G29" s="68"/>
      <c r="H29" s="67"/>
      <c r="I29" s="68"/>
      <c r="J29" s="67"/>
      <c r="K29" s="68"/>
      <c r="L29" s="67"/>
      <c r="M29" s="68"/>
      <c r="N29" s="67"/>
      <c r="O29" s="68"/>
      <c r="P29" s="65">
        <f t="shared" si="0"/>
        <v>1040</v>
      </c>
      <c r="Q29" s="65">
        <f t="shared" si="1"/>
        <v>0</v>
      </c>
      <c r="R29" s="66">
        <f t="shared" si="2"/>
        <v>0</v>
      </c>
    </row>
    <row r="30" spans="1:18" ht="15">
      <c r="A30" s="49"/>
      <c r="B30" s="60" t="s">
        <v>75</v>
      </c>
      <c r="C30" s="61" t="s">
        <v>76</v>
      </c>
      <c r="D30" s="62">
        <v>20</v>
      </c>
      <c r="E30" s="67">
        <v>48</v>
      </c>
      <c r="F30" s="67">
        <f>20+20+20+20+20+20</f>
        <v>120</v>
      </c>
      <c r="G30" s="68">
        <f>20+20+20</f>
        <v>60</v>
      </c>
      <c r="H30" s="67"/>
      <c r="I30" s="68"/>
      <c r="J30" s="67"/>
      <c r="K30" s="68"/>
      <c r="L30" s="67"/>
      <c r="M30" s="68"/>
      <c r="N30" s="67"/>
      <c r="O30" s="68"/>
      <c r="P30" s="65">
        <f t="shared" si="0"/>
        <v>800</v>
      </c>
      <c r="Q30" s="65">
        <f t="shared" si="1"/>
        <v>228</v>
      </c>
      <c r="R30" s="66">
        <f t="shared" si="2"/>
        <v>28.499999999999996</v>
      </c>
    </row>
    <row r="31" spans="1:18" ht="15">
      <c r="A31" s="49"/>
      <c r="B31" s="60" t="s">
        <v>77</v>
      </c>
      <c r="C31" s="61" t="s">
        <v>78</v>
      </c>
      <c r="D31" s="62">
        <v>23</v>
      </c>
      <c r="E31" s="67">
        <v>485</v>
      </c>
      <c r="F31" s="67"/>
      <c r="G31" s="68">
        <f>17+119</f>
        <v>136</v>
      </c>
      <c r="H31" s="67"/>
      <c r="I31" s="68"/>
      <c r="J31" s="67"/>
      <c r="K31" s="68"/>
      <c r="L31" s="67"/>
      <c r="M31" s="68"/>
      <c r="N31" s="67"/>
      <c r="O31" s="68"/>
      <c r="P31" s="65">
        <f t="shared" si="0"/>
        <v>920</v>
      </c>
      <c r="Q31" s="65">
        <f t="shared" si="1"/>
        <v>621</v>
      </c>
      <c r="R31" s="66">
        <f t="shared" si="2"/>
        <v>67.5</v>
      </c>
    </row>
    <row r="32" spans="1:18" ht="15">
      <c r="A32" s="49"/>
      <c r="B32" s="60" t="s">
        <v>79</v>
      </c>
      <c r="C32" s="61" t="s">
        <v>80</v>
      </c>
      <c r="D32" s="62">
        <v>16</v>
      </c>
      <c r="E32" s="67">
        <v>369</v>
      </c>
      <c r="F32" s="67">
        <f>20+20+40+20+40+20+20</f>
        <v>180</v>
      </c>
      <c r="G32" s="68">
        <f>40+20+20</f>
        <v>80</v>
      </c>
      <c r="H32" s="67"/>
      <c r="I32" s="68"/>
      <c r="J32" s="67"/>
      <c r="K32" s="68"/>
      <c r="L32" s="67"/>
      <c r="M32" s="68"/>
      <c r="N32" s="67"/>
      <c r="O32" s="68"/>
      <c r="P32" s="65">
        <f t="shared" si="0"/>
        <v>640</v>
      </c>
      <c r="Q32" s="65">
        <f t="shared" si="1"/>
        <v>629</v>
      </c>
      <c r="R32" s="66">
        <f t="shared" si="2"/>
        <v>98.28125</v>
      </c>
    </row>
    <row r="33" spans="1:18" ht="15">
      <c r="A33" s="49"/>
      <c r="B33" s="60" t="s">
        <v>81</v>
      </c>
      <c r="C33" s="61" t="s">
        <v>82</v>
      </c>
      <c r="D33" s="62">
        <v>20</v>
      </c>
      <c r="E33" s="67">
        <v>682</v>
      </c>
      <c r="F33" s="67"/>
      <c r="G33" s="68"/>
      <c r="H33" s="67"/>
      <c r="I33" s="68"/>
      <c r="J33" s="67"/>
      <c r="K33" s="68"/>
      <c r="L33" s="67"/>
      <c r="M33" s="68"/>
      <c r="N33" s="67"/>
      <c r="O33" s="68"/>
      <c r="P33" s="65">
        <f t="shared" si="0"/>
        <v>800</v>
      </c>
      <c r="Q33" s="65">
        <f t="shared" si="1"/>
        <v>682</v>
      </c>
      <c r="R33" s="66">
        <f t="shared" si="2"/>
        <v>85.25</v>
      </c>
    </row>
    <row r="34" spans="1:18" ht="15">
      <c r="A34" s="49"/>
      <c r="B34" s="60" t="s">
        <v>83</v>
      </c>
      <c r="C34" s="61" t="s">
        <v>84</v>
      </c>
      <c r="D34" s="62">
        <v>25</v>
      </c>
      <c r="E34" s="67">
        <v>824</v>
      </c>
      <c r="F34" s="67"/>
      <c r="G34" s="68"/>
      <c r="H34" s="67">
        <v>320</v>
      </c>
      <c r="I34" s="68"/>
      <c r="J34" s="67"/>
      <c r="K34" s="68"/>
      <c r="L34" s="67"/>
      <c r="M34" s="68"/>
      <c r="N34" s="67"/>
      <c r="O34" s="68"/>
      <c r="P34" s="65">
        <f t="shared" si="0"/>
        <v>1000</v>
      </c>
      <c r="Q34" s="65">
        <f t="shared" si="1"/>
        <v>1144</v>
      </c>
      <c r="R34" s="66">
        <f t="shared" si="2"/>
        <v>114.39999999999999</v>
      </c>
    </row>
    <row r="35" spans="1:18" ht="15">
      <c r="A35" s="49"/>
      <c r="B35" s="60" t="s">
        <v>85</v>
      </c>
      <c r="C35" s="61" t="s">
        <v>86</v>
      </c>
      <c r="D35" s="62">
        <v>23</v>
      </c>
      <c r="E35" s="67">
        <v>729</v>
      </c>
      <c r="F35" s="67"/>
      <c r="G35" s="68"/>
      <c r="H35" s="67"/>
      <c r="I35" s="68"/>
      <c r="J35" s="67"/>
      <c r="K35" s="68"/>
      <c r="L35" s="67"/>
      <c r="M35" s="68"/>
      <c r="N35" s="67"/>
      <c r="O35" s="68"/>
      <c r="P35" s="65">
        <f t="shared" si="0"/>
        <v>920</v>
      </c>
      <c r="Q35" s="65">
        <f t="shared" si="1"/>
        <v>729</v>
      </c>
      <c r="R35" s="66">
        <f t="shared" si="2"/>
        <v>79.23913043478261</v>
      </c>
    </row>
    <row r="36" spans="1:18" ht="15">
      <c r="A36" s="49"/>
      <c r="B36" s="60" t="s">
        <v>87</v>
      </c>
      <c r="C36" s="61" t="s">
        <v>88</v>
      </c>
      <c r="D36" s="70">
        <v>20</v>
      </c>
      <c r="E36" s="67">
        <v>545</v>
      </c>
      <c r="F36" s="67"/>
      <c r="G36" s="68"/>
      <c r="H36" s="67"/>
      <c r="I36" s="68"/>
      <c r="J36" s="67"/>
      <c r="K36" s="68"/>
      <c r="L36" s="67"/>
      <c r="M36" s="68"/>
      <c r="N36" s="67"/>
      <c r="O36" s="68"/>
      <c r="P36" s="65">
        <f aca="true" t="shared" si="3" ref="P36:P55">(D36*4*10)</f>
        <v>800</v>
      </c>
      <c r="Q36" s="65">
        <f aca="true" t="shared" si="4" ref="Q36:Q54">SUM(F36:O36)+E36</f>
        <v>545</v>
      </c>
      <c r="R36" s="66">
        <f aca="true" t="shared" si="5" ref="R36:R67">(Q36/P36)*100</f>
        <v>68.125</v>
      </c>
    </row>
    <row r="37" spans="1:18" ht="15">
      <c r="A37" s="49"/>
      <c r="B37" s="60" t="s">
        <v>89</v>
      </c>
      <c r="C37" s="61" t="s">
        <v>90</v>
      </c>
      <c r="D37" s="62">
        <v>19</v>
      </c>
      <c r="E37" s="67">
        <v>626</v>
      </c>
      <c r="F37" s="67"/>
      <c r="G37" s="68">
        <f>16*20</f>
        <v>320</v>
      </c>
      <c r="H37" s="67"/>
      <c r="I37" s="68"/>
      <c r="J37" s="67"/>
      <c r="K37" s="68"/>
      <c r="L37" s="67"/>
      <c r="M37" s="68"/>
      <c r="N37" s="67"/>
      <c r="O37" s="68"/>
      <c r="P37" s="65">
        <f t="shared" si="3"/>
        <v>760</v>
      </c>
      <c r="Q37" s="65">
        <f t="shared" si="4"/>
        <v>946</v>
      </c>
      <c r="R37" s="66">
        <f t="shared" si="5"/>
        <v>124.47368421052632</v>
      </c>
    </row>
    <row r="38" spans="1:18" ht="15">
      <c r="A38" s="49"/>
      <c r="B38" s="60" t="s">
        <v>91</v>
      </c>
      <c r="C38" s="61" t="s">
        <v>92</v>
      </c>
      <c r="D38" s="62">
        <v>23</v>
      </c>
      <c r="E38" s="67">
        <v>69</v>
      </c>
      <c r="F38" s="67"/>
      <c r="G38" s="68">
        <v>140</v>
      </c>
      <c r="H38" s="67"/>
      <c r="I38" s="68"/>
      <c r="J38" s="67"/>
      <c r="K38" s="68"/>
      <c r="L38" s="67"/>
      <c r="M38" s="68"/>
      <c r="N38" s="67"/>
      <c r="O38" s="68"/>
      <c r="P38" s="65">
        <f t="shared" si="3"/>
        <v>920</v>
      </c>
      <c r="Q38" s="65">
        <f t="shared" si="4"/>
        <v>209</v>
      </c>
      <c r="R38" s="66">
        <f t="shared" si="5"/>
        <v>22.717391304347824</v>
      </c>
    </row>
    <row r="39" spans="1:18" ht="15">
      <c r="A39" s="49"/>
      <c r="B39" s="60" t="s">
        <v>93</v>
      </c>
      <c r="C39" s="61" t="s">
        <v>94</v>
      </c>
      <c r="D39" s="62">
        <v>26</v>
      </c>
      <c r="E39" s="67">
        <v>927</v>
      </c>
      <c r="F39" s="67"/>
      <c r="G39" s="68">
        <v>520</v>
      </c>
      <c r="H39" s="67"/>
      <c r="I39" s="68"/>
      <c r="J39" s="67"/>
      <c r="K39" s="68"/>
      <c r="L39" s="67"/>
      <c r="M39" s="68"/>
      <c r="N39" s="67"/>
      <c r="O39" s="68"/>
      <c r="P39" s="65">
        <f t="shared" si="3"/>
        <v>1040</v>
      </c>
      <c r="Q39" s="65">
        <f t="shared" si="4"/>
        <v>1447</v>
      </c>
      <c r="R39" s="66">
        <f t="shared" si="5"/>
        <v>139.1346153846154</v>
      </c>
    </row>
    <row r="40" spans="1:18" ht="15">
      <c r="A40" s="49"/>
      <c r="B40" s="60" t="s">
        <v>95</v>
      </c>
      <c r="C40" s="61" t="s">
        <v>96</v>
      </c>
      <c r="D40" s="62">
        <v>20</v>
      </c>
      <c r="E40" s="67">
        <v>511</v>
      </c>
      <c r="F40" s="67"/>
      <c r="G40" s="68">
        <v>400</v>
      </c>
      <c r="H40" s="67">
        <f>30</f>
        <v>30</v>
      </c>
      <c r="I40" s="68"/>
      <c r="J40" s="67"/>
      <c r="K40" s="68"/>
      <c r="L40" s="67"/>
      <c r="M40" s="68"/>
      <c r="N40" s="67"/>
      <c r="O40" s="68"/>
      <c r="P40" s="65">
        <f t="shared" si="3"/>
        <v>800</v>
      </c>
      <c r="Q40" s="65">
        <f t="shared" si="4"/>
        <v>941</v>
      </c>
      <c r="R40" s="66">
        <f t="shared" si="5"/>
        <v>117.625</v>
      </c>
    </row>
    <row r="41" spans="1:18" ht="15">
      <c r="A41" s="49"/>
      <c r="B41" s="60" t="s">
        <v>97</v>
      </c>
      <c r="C41" s="61" t="s">
        <v>98</v>
      </c>
      <c r="D41" s="62">
        <v>27</v>
      </c>
      <c r="E41" s="67">
        <v>931</v>
      </c>
      <c r="F41" s="67"/>
      <c r="G41" s="68">
        <f>80+920</f>
        <v>1000</v>
      </c>
      <c r="H41" s="67"/>
      <c r="I41" s="68"/>
      <c r="J41" s="67"/>
      <c r="K41" s="68"/>
      <c r="L41" s="67"/>
      <c r="M41" s="68"/>
      <c r="N41" s="67"/>
      <c r="O41" s="68"/>
      <c r="P41" s="65">
        <f t="shared" si="3"/>
        <v>1080</v>
      </c>
      <c r="Q41" s="65">
        <f t="shared" si="4"/>
        <v>1931</v>
      </c>
      <c r="R41" s="66">
        <f t="shared" si="5"/>
        <v>178.7962962962963</v>
      </c>
    </row>
    <row r="42" spans="1:18" ht="15">
      <c r="A42" s="49"/>
      <c r="B42" s="60" t="s">
        <v>99</v>
      </c>
      <c r="C42" s="61" t="s">
        <v>100</v>
      </c>
      <c r="D42" s="62">
        <v>25</v>
      </c>
      <c r="E42" s="67">
        <v>837</v>
      </c>
      <c r="F42" s="67"/>
      <c r="G42" s="68">
        <f>20</f>
        <v>20</v>
      </c>
      <c r="H42" s="67"/>
      <c r="I42" s="68"/>
      <c r="J42" s="67"/>
      <c r="K42" s="68"/>
      <c r="L42" s="67"/>
      <c r="M42" s="68"/>
      <c r="N42" s="67"/>
      <c r="O42" s="68"/>
      <c r="P42" s="65">
        <f t="shared" si="3"/>
        <v>1000</v>
      </c>
      <c r="Q42" s="65">
        <f t="shared" si="4"/>
        <v>857</v>
      </c>
      <c r="R42" s="66">
        <f t="shared" si="5"/>
        <v>85.7</v>
      </c>
    </row>
    <row r="43" spans="1:18" ht="15">
      <c r="A43" s="49"/>
      <c r="B43" s="60" t="s">
        <v>101</v>
      </c>
      <c r="C43" s="61" t="s">
        <v>102</v>
      </c>
      <c r="D43" s="62">
        <v>26</v>
      </c>
      <c r="E43" s="67">
        <v>772</v>
      </c>
      <c r="F43" s="67">
        <f>20</f>
        <v>20</v>
      </c>
      <c r="G43" s="68"/>
      <c r="H43" s="67"/>
      <c r="I43" s="68"/>
      <c r="J43" s="67"/>
      <c r="K43" s="68"/>
      <c r="L43" s="67"/>
      <c r="M43" s="68"/>
      <c r="N43" s="67"/>
      <c r="O43" s="68"/>
      <c r="P43" s="65">
        <f t="shared" si="3"/>
        <v>1040</v>
      </c>
      <c r="Q43" s="65">
        <f t="shared" si="4"/>
        <v>792</v>
      </c>
      <c r="R43" s="66">
        <f t="shared" si="5"/>
        <v>76.15384615384615</v>
      </c>
    </row>
    <row r="44" spans="1:18" ht="15">
      <c r="A44" s="49"/>
      <c r="B44" s="60" t="s">
        <v>103</v>
      </c>
      <c r="C44" s="61" t="s">
        <v>104</v>
      </c>
      <c r="D44" s="62">
        <v>26</v>
      </c>
      <c r="E44" s="67">
        <v>699</v>
      </c>
      <c r="F44" s="67"/>
      <c r="G44" s="68"/>
      <c r="H44" s="67"/>
      <c r="I44" s="68"/>
      <c r="J44" s="67"/>
      <c r="K44" s="68"/>
      <c r="L44" s="67"/>
      <c r="M44" s="68"/>
      <c r="N44" s="67"/>
      <c r="O44" s="68"/>
      <c r="P44" s="65">
        <f t="shared" si="3"/>
        <v>1040</v>
      </c>
      <c r="Q44" s="65">
        <f t="shared" si="4"/>
        <v>699</v>
      </c>
      <c r="R44" s="66">
        <f t="shared" si="5"/>
        <v>67.21153846153847</v>
      </c>
    </row>
    <row r="45" spans="1:18" ht="15">
      <c r="A45" s="49"/>
      <c r="B45" s="60" t="s">
        <v>105</v>
      </c>
      <c r="C45" s="61" t="s">
        <v>106</v>
      </c>
      <c r="D45" s="62">
        <v>27</v>
      </c>
      <c r="E45" s="67">
        <v>614</v>
      </c>
      <c r="F45" s="67"/>
      <c r="G45" s="68"/>
      <c r="H45" s="67"/>
      <c r="I45" s="68"/>
      <c r="J45" s="67"/>
      <c r="K45" s="68"/>
      <c r="L45" s="67"/>
      <c r="M45" s="68"/>
      <c r="N45" s="67"/>
      <c r="O45" s="68"/>
      <c r="P45" s="65">
        <f t="shared" si="3"/>
        <v>1080</v>
      </c>
      <c r="Q45" s="65">
        <f t="shared" si="4"/>
        <v>614</v>
      </c>
      <c r="R45" s="66">
        <f t="shared" si="5"/>
        <v>56.851851851851855</v>
      </c>
    </row>
    <row r="46" spans="1:18" ht="15">
      <c r="A46" s="49"/>
      <c r="B46" s="60" t="s">
        <v>107</v>
      </c>
      <c r="C46" s="61" t="s">
        <v>108</v>
      </c>
      <c r="D46" s="62">
        <v>27</v>
      </c>
      <c r="E46" s="67">
        <v>134</v>
      </c>
      <c r="F46" s="67">
        <f>20+20</f>
        <v>40</v>
      </c>
      <c r="G46" s="68"/>
      <c r="H46" s="67"/>
      <c r="I46" s="68"/>
      <c r="J46" s="67"/>
      <c r="K46" s="68"/>
      <c r="L46" s="67"/>
      <c r="M46" s="68"/>
      <c r="N46" s="67"/>
      <c r="O46" s="68"/>
      <c r="P46" s="65">
        <f t="shared" si="3"/>
        <v>1080</v>
      </c>
      <c r="Q46" s="65">
        <f t="shared" si="4"/>
        <v>174</v>
      </c>
      <c r="R46" s="66">
        <f t="shared" si="5"/>
        <v>16.11111111111111</v>
      </c>
    </row>
    <row r="47" spans="1:18" ht="15">
      <c r="A47" s="49"/>
      <c r="B47" s="60" t="s">
        <v>109</v>
      </c>
      <c r="C47" s="61" t="s">
        <v>110</v>
      </c>
      <c r="D47" s="62">
        <v>17</v>
      </c>
      <c r="E47" s="67">
        <v>532</v>
      </c>
      <c r="F47" s="67"/>
      <c r="G47" s="68"/>
      <c r="H47" s="67">
        <v>180</v>
      </c>
      <c r="I47" s="68"/>
      <c r="J47" s="67"/>
      <c r="K47" s="68"/>
      <c r="L47" s="67"/>
      <c r="M47" s="68"/>
      <c r="N47" s="67"/>
      <c r="O47" s="68"/>
      <c r="P47" s="65">
        <f t="shared" si="3"/>
        <v>680</v>
      </c>
      <c r="Q47" s="65">
        <f t="shared" si="4"/>
        <v>712</v>
      </c>
      <c r="R47" s="66">
        <f t="shared" si="5"/>
        <v>104.70588235294119</v>
      </c>
    </row>
    <row r="48" spans="1:18" ht="15">
      <c r="A48" s="49"/>
      <c r="B48" s="60" t="s">
        <v>111</v>
      </c>
      <c r="C48" s="61" t="s">
        <v>112</v>
      </c>
      <c r="D48" s="62">
        <v>24</v>
      </c>
      <c r="E48" s="67">
        <v>614</v>
      </c>
      <c r="F48" s="67"/>
      <c r="G48" s="68">
        <f>60+800</f>
        <v>860</v>
      </c>
      <c r="H48" s="67"/>
      <c r="I48" s="68"/>
      <c r="J48" s="67"/>
      <c r="K48" s="68"/>
      <c r="L48" s="67"/>
      <c r="M48" s="68"/>
      <c r="N48" s="67"/>
      <c r="O48" s="68"/>
      <c r="P48" s="65">
        <f t="shared" si="3"/>
        <v>960</v>
      </c>
      <c r="Q48" s="65">
        <f t="shared" si="4"/>
        <v>1474</v>
      </c>
      <c r="R48" s="66">
        <f t="shared" si="5"/>
        <v>153.54166666666666</v>
      </c>
    </row>
    <row r="49" spans="1:18" ht="15">
      <c r="A49" s="49"/>
      <c r="B49" s="60" t="s">
        <v>113</v>
      </c>
      <c r="C49" s="61" t="s">
        <v>114</v>
      </c>
      <c r="D49" s="62">
        <v>21</v>
      </c>
      <c r="E49" s="67">
        <v>691</v>
      </c>
      <c r="F49" s="67"/>
      <c r="G49" s="68">
        <v>420</v>
      </c>
      <c r="H49" s="67"/>
      <c r="I49" s="68"/>
      <c r="J49" s="67"/>
      <c r="K49" s="68"/>
      <c r="L49" s="67"/>
      <c r="M49" s="68"/>
      <c r="N49" s="67"/>
      <c r="O49" s="68"/>
      <c r="P49" s="65">
        <f t="shared" si="3"/>
        <v>840</v>
      </c>
      <c r="Q49" s="65">
        <f t="shared" si="4"/>
        <v>1111</v>
      </c>
      <c r="R49" s="66">
        <f t="shared" si="5"/>
        <v>132.26190476190476</v>
      </c>
    </row>
    <row r="50" spans="1:18" ht="15">
      <c r="A50" s="49"/>
      <c r="B50" s="60" t="s">
        <v>115</v>
      </c>
      <c r="C50" s="61" t="s">
        <v>116</v>
      </c>
      <c r="D50" s="62">
        <v>18</v>
      </c>
      <c r="E50" s="67">
        <v>495</v>
      </c>
      <c r="F50" s="67"/>
      <c r="G50" s="68">
        <v>680</v>
      </c>
      <c r="H50" s="67"/>
      <c r="I50" s="68"/>
      <c r="J50" s="67"/>
      <c r="K50" s="68"/>
      <c r="L50" s="67"/>
      <c r="M50" s="68"/>
      <c r="N50" s="67"/>
      <c r="O50" s="68"/>
      <c r="P50" s="65">
        <f t="shared" si="3"/>
        <v>720</v>
      </c>
      <c r="Q50" s="65">
        <f t="shared" si="4"/>
        <v>1175</v>
      </c>
      <c r="R50" s="66">
        <f t="shared" si="5"/>
        <v>163.19444444444443</v>
      </c>
    </row>
    <row r="51" spans="1:18" ht="15">
      <c r="A51" s="49"/>
      <c r="B51" s="60" t="s">
        <v>117</v>
      </c>
      <c r="C51" s="61" t="s">
        <v>118</v>
      </c>
      <c r="D51" s="62">
        <v>16</v>
      </c>
      <c r="E51" s="67">
        <v>69</v>
      </c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5">
        <f t="shared" si="3"/>
        <v>640</v>
      </c>
      <c r="Q51" s="65">
        <f t="shared" si="4"/>
        <v>69</v>
      </c>
      <c r="R51" s="66">
        <f t="shared" si="5"/>
        <v>10.78125</v>
      </c>
    </row>
    <row r="52" spans="1:18" ht="15">
      <c r="A52" s="49"/>
      <c r="B52" s="60" t="s">
        <v>119</v>
      </c>
      <c r="C52" s="61" t="s">
        <v>120</v>
      </c>
      <c r="D52" s="62">
        <v>17</v>
      </c>
      <c r="E52" s="67">
        <v>503</v>
      </c>
      <c r="F52" s="67">
        <f>20</f>
        <v>20</v>
      </c>
      <c r="G52" s="68">
        <f>5+55</f>
        <v>60</v>
      </c>
      <c r="H52" s="67"/>
      <c r="I52" s="68"/>
      <c r="J52" s="67"/>
      <c r="K52" s="68"/>
      <c r="L52" s="67"/>
      <c r="M52" s="68"/>
      <c r="N52" s="67"/>
      <c r="O52" s="68"/>
      <c r="P52" s="65">
        <f t="shared" si="3"/>
        <v>680</v>
      </c>
      <c r="Q52" s="65">
        <f t="shared" si="4"/>
        <v>583</v>
      </c>
      <c r="R52" s="66">
        <f t="shared" si="5"/>
        <v>85.73529411764706</v>
      </c>
    </row>
    <row r="53" spans="1:18" ht="15">
      <c r="A53" s="49"/>
      <c r="B53" s="60" t="s">
        <v>121</v>
      </c>
      <c r="C53" s="61" t="s">
        <v>122</v>
      </c>
      <c r="D53" s="62">
        <v>22</v>
      </c>
      <c r="E53" s="67">
        <v>755</v>
      </c>
      <c r="F53" s="67"/>
      <c r="G53"/>
      <c r="H53" s="67"/>
      <c r="I53" s="68"/>
      <c r="J53" s="67"/>
      <c r="K53" s="68"/>
      <c r="L53" s="67"/>
      <c r="M53" s="68"/>
      <c r="N53" s="67"/>
      <c r="O53" s="68"/>
      <c r="P53" s="65">
        <f t="shared" si="3"/>
        <v>880</v>
      </c>
      <c r="Q53" s="65">
        <f t="shared" si="4"/>
        <v>755</v>
      </c>
      <c r="R53" s="66">
        <f t="shared" si="5"/>
        <v>85.79545454545455</v>
      </c>
    </row>
    <row r="54" spans="1:18" ht="15">
      <c r="A54" s="49"/>
      <c r="B54" s="60" t="s">
        <v>123</v>
      </c>
      <c r="C54" s="61" t="s">
        <v>124</v>
      </c>
      <c r="D54" s="62">
        <v>20</v>
      </c>
      <c r="E54" s="67">
        <v>656</v>
      </c>
      <c r="F54" s="67"/>
      <c r="G54" s="68"/>
      <c r="H54" s="67"/>
      <c r="I54" s="68"/>
      <c r="J54" s="67"/>
      <c r="K54" s="68"/>
      <c r="L54" s="67"/>
      <c r="M54" s="68"/>
      <c r="N54" s="67"/>
      <c r="O54" s="68"/>
      <c r="P54" s="65">
        <f t="shared" si="3"/>
        <v>800</v>
      </c>
      <c r="Q54" s="65">
        <f t="shared" si="4"/>
        <v>656</v>
      </c>
      <c r="R54" s="66">
        <f t="shared" si="5"/>
        <v>82</v>
      </c>
    </row>
    <row r="55" spans="1:18" ht="15">
      <c r="A55" s="49"/>
      <c r="B55" s="71"/>
      <c r="C55" s="72" t="s">
        <v>125</v>
      </c>
      <c r="D55" s="73">
        <f aca="true" t="shared" si="6" ref="D55:O55">SUM(D4:D54)</f>
        <v>1153</v>
      </c>
      <c r="E55" s="74">
        <f t="shared" si="6"/>
        <v>21393</v>
      </c>
      <c r="F55" s="74">
        <f t="shared" si="6"/>
        <v>1740</v>
      </c>
      <c r="G55" s="74">
        <f t="shared" si="6"/>
        <v>7535.7</v>
      </c>
      <c r="H55" s="74">
        <f t="shared" si="6"/>
        <v>1920</v>
      </c>
      <c r="I55" s="74">
        <f t="shared" si="6"/>
        <v>0</v>
      </c>
      <c r="J55" s="74">
        <f t="shared" si="6"/>
        <v>0</v>
      </c>
      <c r="K55" s="74">
        <f t="shared" si="6"/>
        <v>15.06</v>
      </c>
      <c r="L55" s="74">
        <f t="shared" si="6"/>
        <v>0</v>
      </c>
      <c r="M55" s="74">
        <f t="shared" si="6"/>
        <v>0</v>
      </c>
      <c r="N55" s="74">
        <f t="shared" si="6"/>
        <v>0</v>
      </c>
      <c r="O55" s="74">
        <f t="shared" si="6"/>
        <v>0</v>
      </c>
      <c r="P55" s="75">
        <f t="shared" si="3"/>
        <v>46120</v>
      </c>
      <c r="Q55" s="75">
        <f>SUM(Q4:Q54)-E55</f>
        <v>11210.760000000002</v>
      </c>
      <c r="R55" s="66">
        <f t="shared" si="5"/>
        <v>24.30780572419775</v>
      </c>
    </row>
    <row r="56" spans="1:18" ht="15" customHeight="1">
      <c r="A56" s="49"/>
      <c r="B56" s="49"/>
      <c r="C56" s="49"/>
      <c r="D56" s="323" t="s">
        <v>15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324" t="s">
        <v>144</v>
      </c>
      <c r="Q56" s="325" t="s">
        <v>28</v>
      </c>
      <c r="R56" s="326" t="s">
        <v>145</v>
      </c>
    </row>
    <row r="57" spans="1:18" ht="15" customHeight="1">
      <c r="A57" s="49"/>
      <c r="B57" s="49"/>
      <c r="C57" s="49"/>
      <c r="D57" s="323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324"/>
      <c r="Q57" s="325"/>
      <c r="R57" s="326"/>
    </row>
    <row r="58" spans="1:18" ht="15" customHeight="1">
      <c r="A58" s="49"/>
      <c r="B58" s="49"/>
      <c r="C58" s="49"/>
      <c r="D58" s="32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324"/>
      <c r="Q58" s="325"/>
      <c r="R58" s="326"/>
    </row>
    <row r="59" spans="1:18" ht="15" customHeight="1">
      <c r="A59" s="49"/>
      <c r="B59" s="49"/>
      <c r="C59" s="49"/>
      <c r="D59" s="323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324"/>
      <c r="Q59" s="325"/>
      <c r="R59" s="326"/>
    </row>
    <row r="60" spans="1:18" ht="14.25">
      <c r="A60" s="49"/>
      <c r="B60" s="49"/>
      <c r="C60" s="49"/>
      <c r="D60" s="323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324"/>
      <c r="Q60" s="325"/>
      <c r="R60" s="326"/>
    </row>
    <row r="61" spans="1:18" ht="14.25">
      <c r="A61" s="49"/>
      <c r="B61" s="49"/>
      <c r="C61" s="49"/>
      <c r="D61" s="323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24"/>
      <c r="Q61" s="325"/>
      <c r="R61" s="326"/>
    </row>
    <row r="62" spans="1:18" ht="14.25">
      <c r="A62" s="49"/>
      <c r="B62" s="49"/>
      <c r="C62" s="49"/>
      <c r="D62" s="323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324"/>
      <c r="Q62" s="325"/>
      <c r="R62" s="326"/>
    </row>
    <row r="63" spans="1:18" ht="14.25">
      <c r="A63" s="49"/>
      <c r="B63" s="49"/>
      <c r="C63" s="49"/>
      <c r="D63" s="49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9"/>
      <c r="Q63" s="49"/>
      <c r="R63" s="49"/>
    </row>
    <row r="64" spans="1:18" ht="14.25" hidden="1">
      <c r="A64" s="49"/>
      <c r="B64" s="327" t="s">
        <v>146</v>
      </c>
      <c r="C64" s="327"/>
      <c r="D64" s="327"/>
      <c r="E64" s="76">
        <f>5740+1120</f>
        <v>6860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49"/>
      <c r="Q64" s="49"/>
      <c r="R64" s="49"/>
    </row>
    <row r="65" spans="2:15" ht="14.25" hidden="1">
      <c r="B65" s="327" t="s">
        <v>147</v>
      </c>
      <c r="C65" s="327"/>
      <c r="D65" s="327"/>
      <c r="E65" s="76">
        <v>800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8" ht="14.25" hidden="1">
      <c r="B66" s="327" t="s">
        <v>148</v>
      </c>
      <c r="C66" s="327"/>
      <c r="D66" s="327"/>
      <c r="E66" s="76">
        <f>SUM(E64:E65)</f>
        <v>7660</v>
      </c>
      <c r="F66" s="76"/>
      <c r="G66" s="76">
        <f aca="true" t="shared" si="7" ref="G66:O66">SUM(G64:G65)</f>
        <v>0</v>
      </c>
      <c r="H66" s="76">
        <f t="shared" si="7"/>
        <v>0</v>
      </c>
      <c r="I66" s="76">
        <f t="shared" si="7"/>
        <v>0</v>
      </c>
      <c r="J66" s="76">
        <f t="shared" si="7"/>
        <v>0</v>
      </c>
      <c r="K66" s="76">
        <f t="shared" si="7"/>
        <v>0</v>
      </c>
      <c r="L66" s="76">
        <f t="shared" si="7"/>
        <v>0</v>
      </c>
      <c r="M66" s="76">
        <f t="shared" si="7"/>
        <v>0</v>
      </c>
      <c r="N66" s="76">
        <f t="shared" si="7"/>
        <v>0</v>
      </c>
      <c r="O66" s="76">
        <f t="shared" si="7"/>
        <v>0</v>
      </c>
      <c r="R66" s="77"/>
    </row>
    <row r="69" ht="14.25">
      <c r="J69"/>
    </row>
  </sheetData>
  <sheetProtection selectLockedCells="1" selectUnlockedCells="1"/>
  <mergeCells count="9">
    <mergeCell ref="B64:D64"/>
    <mergeCell ref="B65:D65"/>
    <mergeCell ref="B66:D66"/>
    <mergeCell ref="B1:O1"/>
    <mergeCell ref="C2:K2"/>
    <mergeCell ref="D56:D62"/>
    <mergeCell ref="P56:P62"/>
    <mergeCell ref="Q56:Q62"/>
    <mergeCell ref="R56:R62"/>
  </mergeCell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AC22" sqref="AC22"/>
    </sheetView>
  </sheetViews>
  <sheetFormatPr defaultColWidth="11.57421875" defaultRowHeight="15"/>
  <cols>
    <col min="1" max="1" width="8.8515625" style="0" customWidth="1"/>
    <col min="2" max="2" width="38.28125" style="0" customWidth="1"/>
    <col min="3" max="3" width="6.00390625" style="0" customWidth="1"/>
    <col min="4" max="4" width="4.421875" style="0" customWidth="1"/>
    <col min="5" max="5" width="0" style="0" hidden="1" customWidth="1"/>
    <col min="6" max="6" width="8.8515625" style="0" customWidth="1"/>
    <col min="7" max="28" width="0" style="0" hidden="1" customWidth="1"/>
    <col min="29" max="254" width="8.8515625" style="0" customWidth="1"/>
  </cols>
  <sheetData>
    <row r="1" spans="1:29" ht="64.5">
      <c r="A1" s="6"/>
      <c r="B1" s="328" t="s">
        <v>149</v>
      </c>
      <c r="C1" s="328"/>
      <c r="D1" s="328"/>
      <c r="E1" s="328"/>
      <c r="F1" s="32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0"/>
      <c r="S1" s="80"/>
      <c r="T1" s="81"/>
      <c r="AC1" s="78"/>
    </row>
    <row r="2" spans="1:29" ht="14.25" customHeight="1">
      <c r="A2" s="6"/>
      <c r="B2" s="82" t="s">
        <v>12</v>
      </c>
      <c r="C2" s="329">
        <f>Wstęp!$E$21</f>
        <v>44242</v>
      </c>
      <c r="D2" s="329"/>
      <c r="E2" s="329"/>
      <c r="F2" s="329"/>
      <c r="G2" s="329"/>
      <c r="H2" s="329"/>
      <c r="I2" s="329"/>
      <c r="J2" s="329"/>
      <c r="K2" s="329"/>
      <c r="L2" s="81"/>
      <c r="M2" s="81"/>
      <c r="N2" s="81"/>
      <c r="O2" s="81"/>
      <c r="P2" s="81"/>
      <c r="Q2" s="81"/>
      <c r="R2" s="81"/>
      <c r="S2" s="81"/>
      <c r="AC2" s="83"/>
    </row>
    <row r="3" spans="1:29" ht="12.75" customHeight="1">
      <c r="A3" s="6"/>
      <c r="B3" s="84"/>
      <c r="C3" s="84"/>
      <c r="D3" s="84"/>
      <c r="E3" s="81"/>
      <c r="F3" s="81"/>
      <c r="G3" s="330" t="s">
        <v>150</v>
      </c>
      <c r="H3" s="330"/>
      <c r="I3" s="330"/>
      <c r="J3" s="330"/>
      <c r="K3" s="330"/>
      <c r="L3" s="330"/>
      <c r="M3" s="330"/>
      <c r="N3" s="330"/>
      <c r="O3" s="330"/>
      <c r="P3" s="330"/>
      <c r="Q3" s="81"/>
      <c r="R3" s="81"/>
      <c r="S3" s="81"/>
      <c r="AC3" s="81"/>
    </row>
    <row r="4" spans="1:29" ht="14.25" customHeight="1">
      <c r="A4" s="6"/>
      <c r="B4" s="85" t="s">
        <v>151</v>
      </c>
      <c r="C4" s="86"/>
      <c r="D4" s="86"/>
      <c r="E4" s="87"/>
      <c r="F4" s="87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6"/>
      <c r="R4" s="6"/>
      <c r="S4" s="6"/>
      <c r="AC4" s="87"/>
    </row>
    <row r="5" spans="1:29" ht="139.5" customHeight="1">
      <c r="A5" s="6"/>
      <c r="B5" s="88" t="s">
        <v>13</v>
      </c>
      <c r="C5" s="89" t="s">
        <v>14</v>
      </c>
      <c r="D5" s="90" t="s">
        <v>15</v>
      </c>
      <c r="E5" s="91" t="s">
        <v>152</v>
      </c>
      <c r="F5" s="91" t="s">
        <v>153</v>
      </c>
      <c r="G5" s="92" t="s">
        <v>17</v>
      </c>
      <c r="H5" s="93" t="s">
        <v>18</v>
      </c>
      <c r="I5" s="92" t="s">
        <v>19</v>
      </c>
      <c r="J5" s="93" t="s">
        <v>20</v>
      </c>
      <c r="K5" s="92" t="s">
        <v>21</v>
      </c>
      <c r="L5" s="93" t="s">
        <v>22</v>
      </c>
      <c r="M5" s="92" t="s">
        <v>23</v>
      </c>
      <c r="N5" s="93" t="s">
        <v>24</v>
      </c>
      <c r="O5" s="92" t="s">
        <v>25</v>
      </c>
      <c r="P5" s="93" t="s">
        <v>26</v>
      </c>
      <c r="Q5" s="94" t="s">
        <v>130</v>
      </c>
      <c r="R5" s="94" t="s">
        <v>131</v>
      </c>
      <c r="S5" s="95" t="s">
        <v>132</v>
      </c>
      <c r="AC5" s="91" t="s">
        <v>154</v>
      </c>
    </row>
    <row r="6" spans="1:29" ht="15">
      <c r="A6" s="6"/>
      <c r="B6" s="96" t="s">
        <v>65</v>
      </c>
      <c r="C6" s="23" t="s">
        <v>66</v>
      </c>
      <c r="D6" s="97">
        <v>25</v>
      </c>
      <c r="E6" s="97">
        <f>D6</f>
        <v>25</v>
      </c>
      <c r="F6" s="97"/>
      <c r="G6" s="98"/>
      <c r="I6" s="99"/>
      <c r="J6" s="100"/>
      <c r="K6" s="98"/>
      <c r="L6" s="101"/>
      <c r="M6" s="98"/>
      <c r="N6" s="100"/>
      <c r="O6" s="102"/>
      <c r="P6" s="100"/>
      <c r="Q6" s="103">
        <f aca="true" t="shared" si="0" ref="Q6:Q22">(E6*$G$4*5)+(E6*$L$4*5)</f>
        <v>0</v>
      </c>
      <c r="R6" s="103">
        <f aca="true" t="shared" si="1" ref="R6:R21">SUM(G6:P6)+F6</f>
        <v>0</v>
      </c>
      <c r="S6" s="104" t="e">
        <f aca="true" t="shared" si="2" ref="S6:S22">(R6/Q6)*100</f>
        <v>#DIV/0!</v>
      </c>
      <c r="AC6" s="97"/>
    </row>
    <row r="7" spans="1:29" ht="15">
      <c r="A7" s="6"/>
      <c r="B7" s="96" t="s">
        <v>67</v>
      </c>
      <c r="C7" s="23" t="s">
        <v>68</v>
      </c>
      <c r="D7" s="97">
        <v>25</v>
      </c>
      <c r="E7" s="97">
        <f>D7</f>
        <v>25</v>
      </c>
      <c r="F7" s="97"/>
      <c r="G7" s="98"/>
      <c r="I7" s="99"/>
      <c r="J7" s="100"/>
      <c r="K7" s="98"/>
      <c r="L7" s="101"/>
      <c r="M7" s="98"/>
      <c r="N7" s="100"/>
      <c r="O7" s="102"/>
      <c r="P7" s="100"/>
      <c r="Q7" s="103">
        <f t="shared" si="0"/>
        <v>0</v>
      </c>
      <c r="R7" s="103">
        <f t="shared" si="1"/>
        <v>0</v>
      </c>
      <c r="S7" s="104" t="e">
        <f t="shared" si="2"/>
        <v>#DIV/0!</v>
      </c>
      <c r="AC7" s="97"/>
    </row>
    <row r="8" spans="1:29" ht="15">
      <c r="A8" s="6"/>
      <c r="B8" s="96" t="s">
        <v>69</v>
      </c>
      <c r="C8" s="23" t="s">
        <v>70</v>
      </c>
      <c r="D8" s="97">
        <v>25</v>
      </c>
      <c r="E8" s="97">
        <f>D8</f>
        <v>25</v>
      </c>
      <c r="F8" s="97"/>
      <c r="G8" s="98"/>
      <c r="I8" s="99"/>
      <c r="J8" s="100"/>
      <c r="K8" s="98"/>
      <c r="L8" s="101"/>
      <c r="M8" s="98"/>
      <c r="N8" s="100"/>
      <c r="O8" s="102"/>
      <c r="P8" s="100"/>
      <c r="Q8" s="103">
        <f t="shared" si="0"/>
        <v>0</v>
      </c>
      <c r="R8" s="103">
        <f t="shared" si="1"/>
        <v>0</v>
      </c>
      <c r="S8" s="104" t="e">
        <f t="shared" si="2"/>
        <v>#DIV/0!</v>
      </c>
      <c r="AC8" s="97"/>
    </row>
    <row r="9" spans="1:29" ht="15">
      <c r="A9" s="6"/>
      <c r="B9" s="96" t="s">
        <v>143</v>
      </c>
      <c r="C9" s="23" t="s">
        <v>72</v>
      </c>
      <c r="D9" s="97">
        <v>25</v>
      </c>
      <c r="E9" s="97">
        <f>D9</f>
        <v>25</v>
      </c>
      <c r="F9" s="97"/>
      <c r="G9" s="98"/>
      <c r="I9" s="99"/>
      <c r="J9" s="100"/>
      <c r="K9" s="98"/>
      <c r="L9" s="101"/>
      <c r="M9" s="98"/>
      <c r="N9" s="100"/>
      <c r="O9" s="102"/>
      <c r="P9" s="100"/>
      <c r="Q9" s="103">
        <f t="shared" si="0"/>
        <v>0</v>
      </c>
      <c r="R9" s="103">
        <f t="shared" si="1"/>
        <v>0</v>
      </c>
      <c r="S9" s="104" t="e">
        <f t="shared" si="2"/>
        <v>#DIV/0!</v>
      </c>
      <c r="AC9" s="97"/>
    </row>
    <row r="10" spans="1:29" ht="15">
      <c r="A10" s="6"/>
      <c r="B10" s="96" t="s">
        <v>73</v>
      </c>
      <c r="C10" s="23" t="s">
        <v>74</v>
      </c>
      <c r="D10" s="97">
        <v>26</v>
      </c>
      <c r="E10" s="97">
        <f>D10</f>
        <v>26</v>
      </c>
      <c r="F10" s="97"/>
      <c r="G10" s="98"/>
      <c r="I10" s="99"/>
      <c r="J10" s="100"/>
      <c r="K10" s="98"/>
      <c r="L10" s="101"/>
      <c r="M10" s="98"/>
      <c r="N10" s="100"/>
      <c r="O10" s="102"/>
      <c r="P10" s="100"/>
      <c r="Q10" s="103">
        <f t="shared" si="0"/>
        <v>0</v>
      </c>
      <c r="R10" s="103">
        <f t="shared" si="1"/>
        <v>0</v>
      </c>
      <c r="S10" s="104" t="e">
        <f t="shared" si="2"/>
        <v>#DIV/0!</v>
      </c>
      <c r="AC10" s="97"/>
    </row>
    <row r="11" spans="1:29" ht="15">
      <c r="A11" s="6"/>
      <c r="B11" s="96" t="s">
        <v>75</v>
      </c>
      <c r="C11" s="23" t="s">
        <v>66</v>
      </c>
      <c r="D11" s="97">
        <v>19</v>
      </c>
      <c r="E11" s="97">
        <f>D11-1</f>
        <v>18</v>
      </c>
      <c r="F11" s="97">
        <v>-343</v>
      </c>
      <c r="G11" s="98"/>
      <c r="I11" s="99"/>
      <c r="J11" s="100"/>
      <c r="K11" s="98"/>
      <c r="L11" s="101"/>
      <c r="M11" s="98"/>
      <c r="N11" s="100"/>
      <c r="O11" s="102"/>
      <c r="P11" s="100"/>
      <c r="Q11" s="103">
        <f t="shared" si="0"/>
        <v>0</v>
      </c>
      <c r="R11" s="103">
        <f t="shared" si="1"/>
        <v>-343</v>
      </c>
      <c r="S11" s="104" t="e">
        <f t="shared" si="2"/>
        <v>#DIV/0!</v>
      </c>
      <c r="AC11" s="97"/>
    </row>
    <row r="12" spans="1:29" ht="15">
      <c r="A12" s="6"/>
      <c r="B12" s="96" t="s">
        <v>77</v>
      </c>
      <c r="C12" s="23" t="s">
        <v>68</v>
      </c>
      <c r="D12" s="97">
        <v>22</v>
      </c>
      <c r="E12" s="97">
        <f>D12</f>
        <v>22</v>
      </c>
      <c r="F12" s="97"/>
      <c r="G12" s="98"/>
      <c r="H12" s="100"/>
      <c r="I12" s="99"/>
      <c r="J12" s="100"/>
      <c r="K12" s="98"/>
      <c r="L12" s="101"/>
      <c r="M12" s="98"/>
      <c r="N12" s="100"/>
      <c r="O12" s="102"/>
      <c r="P12" s="100"/>
      <c r="Q12" s="103">
        <f t="shared" si="0"/>
        <v>0</v>
      </c>
      <c r="R12" s="103">
        <f t="shared" si="1"/>
        <v>0</v>
      </c>
      <c r="S12" s="104" t="e">
        <f t="shared" si="2"/>
        <v>#DIV/0!</v>
      </c>
      <c r="AC12" s="97"/>
    </row>
    <row r="13" spans="1:29" ht="15">
      <c r="A13" s="6"/>
      <c r="B13" s="96" t="s">
        <v>79</v>
      </c>
      <c r="C13" s="23" t="s">
        <v>70</v>
      </c>
      <c r="D13" s="97">
        <v>16</v>
      </c>
      <c r="E13" s="97">
        <f>D13-1</f>
        <v>15</v>
      </c>
      <c r="F13" s="97"/>
      <c r="G13" s="98"/>
      <c r="H13" s="100"/>
      <c r="I13" s="99"/>
      <c r="J13" s="100"/>
      <c r="K13" s="98"/>
      <c r="L13" s="101"/>
      <c r="M13" s="98"/>
      <c r="N13" s="100"/>
      <c r="O13" s="102"/>
      <c r="P13" s="100"/>
      <c r="Q13" s="103">
        <f t="shared" si="0"/>
        <v>0</v>
      </c>
      <c r="R13" s="103">
        <f t="shared" si="1"/>
        <v>0</v>
      </c>
      <c r="S13" s="104" t="e">
        <f t="shared" si="2"/>
        <v>#DIV/0!</v>
      </c>
      <c r="AC13" s="97"/>
    </row>
    <row r="14" spans="1:29" ht="15">
      <c r="A14" s="6"/>
      <c r="B14" s="96" t="s">
        <v>81</v>
      </c>
      <c r="C14" s="23" t="s">
        <v>76</v>
      </c>
      <c r="D14" s="97">
        <v>19</v>
      </c>
      <c r="E14" s="97">
        <f>D14</f>
        <v>19</v>
      </c>
      <c r="F14" s="97"/>
      <c r="G14" s="98"/>
      <c r="H14" s="100"/>
      <c r="I14" s="98"/>
      <c r="J14" s="100"/>
      <c r="K14" s="98"/>
      <c r="L14" s="101"/>
      <c r="M14" s="98"/>
      <c r="N14" s="100"/>
      <c r="O14" s="102"/>
      <c r="P14" s="100"/>
      <c r="Q14" s="103">
        <f t="shared" si="0"/>
        <v>0</v>
      </c>
      <c r="R14" s="103">
        <f t="shared" si="1"/>
        <v>0</v>
      </c>
      <c r="S14" s="104" t="e">
        <f t="shared" si="2"/>
        <v>#DIV/0!</v>
      </c>
      <c r="AC14" s="97"/>
    </row>
    <row r="15" spans="1:29" ht="15">
      <c r="A15" s="6"/>
      <c r="B15" s="96" t="s">
        <v>83</v>
      </c>
      <c r="C15" s="23" t="s">
        <v>78</v>
      </c>
      <c r="D15" s="97">
        <v>24</v>
      </c>
      <c r="E15" s="97">
        <f>D15-1</f>
        <v>23</v>
      </c>
      <c r="F15" s="97"/>
      <c r="G15" s="98"/>
      <c r="H15" s="100"/>
      <c r="I15" s="98"/>
      <c r="J15" s="100"/>
      <c r="K15" s="98"/>
      <c r="L15" s="100"/>
      <c r="M15" s="98"/>
      <c r="N15" s="100"/>
      <c r="O15" s="102"/>
      <c r="P15" s="100"/>
      <c r="Q15" s="103">
        <f t="shared" si="0"/>
        <v>0</v>
      </c>
      <c r="R15" s="103">
        <f t="shared" si="1"/>
        <v>0</v>
      </c>
      <c r="S15" s="104" t="e">
        <f t="shared" si="2"/>
        <v>#DIV/0!</v>
      </c>
      <c r="AC15" s="97"/>
    </row>
    <row r="16" spans="1:29" ht="15">
      <c r="A16" s="6"/>
      <c r="B16" s="96" t="s">
        <v>85</v>
      </c>
      <c r="C16" s="23" t="s">
        <v>80</v>
      </c>
      <c r="D16" s="97">
        <v>23</v>
      </c>
      <c r="E16" s="97">
        <f>D16-1-1-1-1</f>
        <v>19</v>
      </c>
      <c r="F16" s="97"/>
      <c r="G16" s="98"/>
      <c r="H16" s="100"/>
      <c r="I16" s="98"/>
      <c r="J16" s="100"/>
      <c r="K16" s="98"/>
      <c r="L16" s="100"/>
      <c r="M16" s="98"/>
      <c r="N16" s="100"/>
      <c r="O16" s="102"/>
      <c r="P16" s="100"/>
      <c r="Q16" s="103">
        <f t="shared" si="0"/>
        <v>0</v>
      </c>
      <c r="R16" s="103">
        <f t="shared" si="1"/>
        <v>0</v>
      </c>
      <c r="S16" s="104" t="e">
        <f t="shared" si="2"/>
        <v>#DIV/0!</v>
      </c>
      <c r="AC16" s="97"/>
    </row>
    <row r="17" spans="1:29" ht="15">
      <c r="A17" s="6"/>
      <c r="B17" s="96" t="s">
        <v>87</v>
      </c>
      <c r="C17" s="23" t="s">
        <v>155</v>
      </c>
      <c r="D17" s="97">
        <v>15</v>
      </c>
      <c r="E17" s="97">
        <f>D17</f>
        <v>15</v>
      </c>
      <c r="F17" s="97"/>
      <c r="G17" s="98"/>
      <c r="H17" s="100"/>
      <c r="I17" s="98"/>
      <c r="J17" s="100"/>
      <c r="K17" s="98"/>
      <c r="L17" s="100"/>
      <c r="M17" s="98"/>
      <c r="N17" s="100"/>
      <c r="O17" s="102"/>
      <c r="P17" s="100"/>
      <c r="Q17" s="103">
        <f t="shared" si="0"/>
        <v>0</v>
      </c>
      <c r="R17" s="103">
        <f t="shared" si="1"/>
        <v>0</v>
      </c>
      <c r="S17" s="104" t="e">
        <f t="shared" si="2"/>
        <v>#DIV/0!</v>
      </c>
      <c r="AC17" s="97"/>
    </row>
    <row r="18" spans="1:29" ht="15">
      <c r="A18" s="6"/>
      <c r="B18" s="96" t="s">
        <v>89</v>
      </c>
      <c r="C18" s="23" t="s">
        <v>156</v>
      </c>
      <c r="D18" s="97">
        <v>20</v>
      </c>
      <c r="E18" s="97">
        <f>D18-1</f>
        <v>19</v>
      </c>
      <c r="F18" s="97"/>
      <c r="G18" s="98"/>
      <c r="H18" s="100"/>
      <c r="I18" s="98"/>
      <c r="J18" s="100"/>
      <c r="K18" s="98"/>
      <c r="L18" s="100"/>
      <c r="M18" s="98"/>
      <c r="N18" s="100"/>
      <c r="O18" s="102"/>
      <c r="P18" s="100"/>
      <c r="Q18" s="103">
        <f t="shared" si="0"/>
        <v>0</v>
      </c>
      <c r="R18" s="103">
        <f t="shared" si="1"/>
        <v>0</v>
      </c>
      <c r="S18" s="104" t="e">
        <f t="shared" si="2"/>
        <v>#DIV/0!</v>
      </c>
      <c r="AC18" s="97"/>
    </row>
    <row r="19" spans="1:29" ht="15">
      <c r="A19" s="6"/>
      <c r="B19" s="96" t="s">
        <v>91</v>
      </c>
      <c r="C19" s="23" t="s">
        <v>157</v>
      </c>
      <c r="D19" s="105">
        <v>24</v>
      </c>
      <c r="E19" s="97">
        <f>D19-3</f>
        <v>21</v>
      </c>
      <c r="F19" s="97">
        <f>-39</f>
        <v>-39</v>
      </c>
      <c r="G19" s="98"/>
      <c r="H19" s="100"/>
      <c r="I19" s="98"/>
      <c r="J19" s="100"/>
      <c r="K19" s="98"/>
      <c r="L19" s="100"/>
      <c r="M19" s="98"/>
      <c r="N19" s="100"/>
      <c r="O19" s="102"/>
      <c r="P19" s="100"/>
      <c r="Q19" s="103">
        <f t="shared" si="0"/>
        <v>0</v>
      </c>
      <c r="R19" s="103">
        <f t="shared" si="1"/>
        <v>-39</v>
      </c>
      <c r="S19" s="104" t="e">
        <f t="shared" si="2"/>
        <v>#DIV/0!</v>
      </c>
      <c r="AC19" s="97">
        <v>50</v>
      </c>
    </row>
    <row r="20" spans="1:29" ht="15">
      <c r="A20" s="6"/>
      <c r="B20" s="96" t="s">
        <v>93</v>
      </c>
      <c r="C20" s="23" t="s">
        <v>158</v>
      </c>
      <c r="D20" s="97">
        <v>27</v>
      </c>
      <c r="E20" s="97">
        <f>D20</f>
        <v>27</v>
      </c>
      <c r="F20" s="97"/>
      <c r="G20" s="98"/>
      <c r="H20" s="100"/>
      <c r="I20" s="98"/>
      <c r="J20" s="100"/>
      <c r="K20" s="98"/>
      <c r="L20" s="100"/>
      <c r="M20" s="98"/>
      <c r="N20" s="100"/>
      <c r="O20" s="102"/>
      <c r="P20" s="100"/>
      <c r="Q20" s="103">
        <f t="shared" si="0"/>
        <v>0</v>
      </c>
      <c r="R20" s="103">
        <f t="shared" si="1"/>
        <v>0</v>
      </c>
      <c r="S20" s="104" t="e">
        <f t="shared" si="2"/>
        <v>#DIV/0!</v>
      </c>
      <c r="AC20" s="97"/>
    </row>
    <row r="21" spans="1:29" ht="15">
      <c r="A21" s="6"/>
      <c r="B21" s="96" t="s">
        <v>95</v>
      </c>
      <c r="C21" s="23" t="s">
        <v>159</v>
      </c>
      <c r="D21" s="97">
        <v>21</v>
      </c>
      <c r="E21" s="97">
        <f>D21-1</f>
        <v>20</v>
      </c>
      <c r="F21" s="97"/>
      <c r="G21" s="98"/>
      <c r="H21" s="100"/>
      <c r="I21" s="98"/>
      <c r="J21" s="100"/>
      <c r="K21" s="98"/>
      <c r="L21" s="100"/>
      <c r="M21" s="98"/>
      <c r="N21" s="100"/>
      <c r="O21" s="102"/>
      <c r="P21" s="100"/>
      <c r="Q21" s="103">
        <f t="shared" si="0"/>
        <v>0</v>
      </c>
      <c r="R21" s="103">
        <f t="shared" si="1"/>
        <v>0</v>
      </c>
      <c r="S21" s="104" t="e">
        <f t="shared" si="2"/>
        <v>#DIV/0!</v>
      </c>
      <c r="AC21" s="97"/>
    </row>
    <row r="22" spans="1:29" ht="15">
      <c r="A22" s="6"/>
      <c r="B22" s="106"/>
      <c r="C22" s="107" t="s">
        <v>125</v>
      </c>
      <c r="D22" s="108">
        <f aca="true" t="shared" si="3" ref="D22:P22">SUM(D6:D21)</f>
        <v>356</v>
      </c>
      <c r="E22" s="108">
        <f t="shared" si="3"/>
        <v>344</v>
      </c>
      <c r="F22" s="108">
        <f t="shared" si="3"/>
        <v>-382</v>
      </c>
      <c r="G22" s="109">
        <f t="shared" si="3"/>
        <v>0</v>
      </c>
      <c r="H22" s="109">
        <f t="shared" si="3"/>
        <v>0</v>
      </c>
      <c r="I22" s="109">
        <f t="shared" si="3"/>
        <v>0</v>
      </c>
      <c r="J22" s="109">
        <f t="shared" si="3"/>
        <v>0</v>
      </c>
      <c r="K22" s="109">
        <f t="shared" si="3"/>
        <v>0</v>
      </c>
      <c r="L22" s="109">
        <f t="shared" si="3"/>
        <v>0</v>
      </c>
      <c r="M22" s="109">
        <f t="shared" si="3"/>
        <v>0</v>
      </c>
      <c r="N22" s="109">
        <f t="shared" si="3"/>
        <v>0</v>
      </c>
      <c r="O22" s="109">
        <f t="shared" si="3"/>
        <v>0</v>
      </c>
      <c r="P22" s="109">
        <f t="shared" si="3"/>
        <v>0</v>
      </c>
      <c r="Q22" s="110">
        <f t="shared" si="0"/>
        <v>0</v>
      </c>
      <c r="R22" s="111">
        <f>SUM(R6:R21)</f>
        <v>-382</v>
      </c>
      <c r="S22" s="112" t="e">
        <f t="shared" si="2"/>
        <v>#DIV/0!</v>
      </c>
      <c r="AC22" s="108">
        <f>SUM(AC6:AC21)</f>
        <v>50</v>
      </c>
    </row>
    <row r="23" spans="1:19" ht="15" customHeight="1">
      <c r="A23" s="6"/>
      <c r="B23" s="6"/>
      <c r="C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331" t="s">
        <v>144</v>
      </c>
      <c r="R23" s="332" t="s">
        <v>28</v>
      </c>
      <c r="S23" s="333" t="s">
        <v>145</v>
      </c>
    </row>
    <row r="24" spans="1:19" ht="15" customHeight="1">
      <c r="A24" s="6"/>
      <c r="B24" s="6"/>
      <c r="C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331"/>
      <c r="R24" s="332"/>
      <c r="S24" s="333"/>
    </row>
    <row r="25" spans="1:19" ht="15" customHeight="1">
      <c r="A25" s="6"/>
      <c r="B25" s="6"/>
      <c r="C25" s="6"/>
      <c r="G25" s="113" t="s">
        <v>152</v>
      </c>
      <c r="H25" s="113"/>
      <c r="I25" s="7"/>
      <c r="J25" s="7"/>
      <c r="K25" s="7"/>
      <c r="L25" s="7"/>
      <c r="M25" s="7"/>
      <c r="N25" s="7"/>
      <c r="O25" s="7"/>
      <c r="P25" s="7"/>
      <c r="Q25" s="331"/>
      <c r="R25" s="332"/>
      <c r="S25" s="333"/>
    </row>
    <row r="26" spans="1:19" ht="15" customHeight="1">
      <c r="A26" s="6"/>
      <c r="B26" s="6"/>
      <c r="C26" s="6"/>
      <c r="G26" s="113"/>
      <c r="H26" s="113"/>
      <c r="I26" s="7"/>
      <c r="J26" s="7"/>
      <c r="K26" s="7"/>
      <c r="L26" s="7"/>
      <c r="M26" s="7"/>
      <c r="N26" s="7"/>
      <c r="O26" s="7"/>
      <c r="P26" s="7"/>
      <c r="Q26" s="331"/>
      <c r="R26" s="332"/>
      <c r="S26" s="333"/>
    </row>
    <row r="27" spans="1:19" ht="14.25">
      <c r="A27" s="6"/>
      <c r="B27" s="6"/>
      <c r="C27" s="6"/>
      <c r="G27" s="113"/>
      <c r="H27" s="113"/>
      <c r="I27" s="7"/>
      <c r="J27" s="7"/>
      <c r="K27" s="7"/>
      <c r="L27" s="7"/>
      <c r="M27" s="7"/>
      <c r="N27" s="7"/>
      <c r="O27" s="7"/>
      <c r="P27" s="7"/>
      <c r="Q27" s="331"/>
      <c r="R27" s="332"/>
      <c r="S27" s="333"/>
    </row>
    <row r="28" spans="1:19" ht="14.25">
      <c r="A28" s="6"/>
      <c r="B28" s="6"/>
      <c r="C28" s="6"/>
      <c r="G28" s="113"/>
      <c r="H28" s="113"/>
      <c r="I28" s="7"/>
      <c r="J28" s="7"/>
      <c r="K28" s="7"/>
      <c r="L28" s="7"/>
      <c r="M28" s="7"/>
      <c r="N28" s="7"/>
      <c r="O28" s="7"/>
      <c r="P28" s="7"/>
      <c r="Q28" s="331"/>
      <c r="R28" s="332"/>
      <c r="S28" s="333"/>
    </row>
    <row r="29" spans="1:19" ht="14.25">
      <c r="A29" s="6"/>
      <c r="B29" s="6"/>
      <c r="C29" s="6"/>
      <c r="G29" s="113"/>
      <c r="H29" s="113"/>
      <c r="I29" s="7"/>
      <c r="J29" s="7"/>
      <c r="K29" s="7"/>
      <c r="L29" s="7"/>
      <c r="M29" s="7"/>
      <c r="N29" s="7"/>
      <c r="O29" s="7"/>
      <c r="P29" s="7"/>
      <c r="Q29" s="331"/>
      <c r="R29" s="332"/>
      <c r="S29" s="333"/>
    </row>
    <row r="30" spans="1:19" ht="14.25">
      <c r="A30" s="6"/>
      <c r="B30" s="6"/>
      <c r="C30" s="6"/>
      <c r="D30" s="6"/>
      <c r="E30" s="6"/>
      <c r="G30" s="113"/>
      <c r="H30" s="113"/>
      <c r="I30" s="7"/>
      <c r="J30" s="7"/>
      <c r="K30" s="7"/>
      <c r="L30" s="7"/>
      <c r="M30" s="7"/>
      <c r="N30" s="7"/>
      <c r="O30" s="7"/>
      <c r="P30" s="7"/>
      <c r="Q30" s="6"/>
      <c r="R30" s="6"/>
      <c r="S30" s="6"/>
    </row>
    <row r="31" spans="1:19" ht="14.25" hidden="1">
      <c r="A31" s="6"/>
      <c r="B31" s="6"/>
      <c r="C31" s="334" t="s">
        <v>160</v>
      </c>
      <c r="D31" s="334"/>
      <c r="E31" s="334"/>
      <c r="G31" s="113"/>
      <c r="H31" s="113"/>
      <c r="I31" s="7"/>
      <c r="J31" s="7"/>
      <c r="K31" s="7"/>
      <c r="L31" s="7"/>
      <c r="M31" s="7"/>
      <c r="N31" s="7"/>
      <c r="O31" s="7"/>
      <c r="P31" s="7"/>
      <c r="Q31" s="6"/>
      <c r="R31" s="6"/>
      <c r="S31" s="6"/>
    </row>
    <row r="32" spans="3:16" ht="14.25" hidden="1">
      <c r="C32" s="334" t="s">
        <v>146</v>
      </c>
      <c r="D32" s="334"/>
      <c r="E32" s="334"/>
      <c r="G32" s="114">
        <v>4860</v>
      </c>
      <c r="H32" s="114"/>
      <c r="I32" s="114"/>
      <c r="J32" s="114"/>
      <c r="K32" s="114"/>
      <c r="L32" s="114"/>
      <c r="M32" s="114"/>
      <c r="N32" s="114"/>
      <c r="O32" s="114"/>
      <c r="P32" s="114"/>
    </row>
    <row r="33" spans="3:16" ht="14.25" hidden="1">
      <c r="C33" s="334" t="s">
        <v>147</v>
      </c>
      <c r="D33" s="334"/>
      <c r="E33" s="334"/>
      <c r="G33" s="114">
        <v>2160</v>
      </c>
      <c r="H33" s="114"/>
      <c r="I33" s="114"/>
      <c r="J33" s="114"/>
      <c r="K33" s="114"/>
      <c r="L33" s="114"/>
      <c r="M33" s="114"/>
      <c r="N33" s="114"/>
      <c r="O33" s="114"/>
      <c r="P33" s="114"/>
    </row>
    <row r="34" spans="3:16" ht="14.25" hidden="1">
      <c r="C34" s="334" t="s">
        <v>148</v>
      </c>
      <c r="D34" s="334"/>
      <c r="E34" s="334"/>
      <c r="G34" s="114">
        <f aca="true" t="shared" si="4" ref="G34:P34">SUM(G32:G33)</f>
        <v>7020</v>
      </c>
      <c r="H34" s="114">
        <f t="shared" si="4"/>
        <v>0</v>
      </c>
      <c r="I34" s="114">
        <f t="shared" si="4"/>
        <v>0</v>
      </c>
      <c r="J34" s="114">
        <f t="shared" si="4"/>
        <v>0</v>
      </c>
      <c r="K34" s="114">
        <f t="shared" si="4"/>
        <v>0</v>
      </c>
      <c r="L34" s="114">
        <f t="shared" si="4"/>
        <v>0</v>
      </c>
      <c r="M34" s="114">
        <f t="shared" si="4"/>
        <v>0</v>
      </c>
      <c r="N34" s="114">
        <f t="shared" si="4"/>
        <v>0</v>
      </c>
      <c r="O34" s="114">
        <f t="shared" si="4"/>
        <v>0</v>
      </c>
      <c r="P34" s="114">
        <f t="shared" si="4"/>
        <v>0</v>
      </c>
    </row>
  </sheetData>
  <sheetProtection selectLockedCells="1" selectUnlockedCells="1"/>
  <mergeCells count="12">
    <mergeCell ref="R23:R29"/>
    <mergeCell ref="S23:S29"/>
    <mergeCell ref="C31:E31"/>
    <mergeCell ref="C32:E32"/>
    <mergeCell ref="C33:E33"/>
    <mergeCell ref="C34:E34"/>
    <mergeCell ref="B1:F1"/>
    <mergeCell ref="C2:K2"/>
    <mergeCell ref="G3:P3"/>
    <mergeCell ref="G4:K4"/>
    <mergeCell ref="L4:P4"/>
    <mergeCell ref="Q23:Q29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I55" sqref="I55"/>
    </sheetView>
  </sheetViews>
  <sheetFormatPr defaultColWidth="11.57421875" defaultRowHeight="15"/>
  <cols>
    <col min="1" max="1" width="9.140625" style="6" customWidth="1"/>
    <col min="2" max="2" width="42.28125" style="6" customWidth="1"/>
    <col min="3" max="3" width="6.140625" style="6" customWidth="1"/>
    <col min="4" max="4" width="8.7109375" style="6" customWidth="1"/>
    <col min="5" max="5" width="9.00390625" style="6" customWidth="1"/>
    <col min="6" max="7" width="9.00390625" style="7" customWidth="1"/>
    <col min="8" max="10" width="9.00390625" style="6" customWidth="1"/>
    <col min="11" max="245" width="9.140625" style="6" customWidth="1"/>
  </cols>
  <sheetData>
    <row r="1" spans="2:10" ht="53.25" customHeight="1">
      <c r="B1" s="335" t="s">
        <v>161</v>
      </c>
      <c r="C1" s="335"/>
      <c r="D1" s="335"/>
      <c r="E1" s="335"/>
      <c r="F1" s="335"/>
      <c r="G1" s="335"/>
      <c r="H1" s="335"/>
      <c r="I1" s="335"/>
      <c r="J1" s="335"/>
    </row>
    <row r="2" spans="2:10" ht="14.25">
      <c r="B2" s="10" t="s">
        <v>12</v>
      </c>
      <c r="C2" s="311">
        <f>Wstęp!E21</f>
        <v>44242</v>
      </c>
      <c r="D2" s="311"/>
      <c r="E2" s="311"/>
      <c r="F2" s="311"/>
      <c r="G2" s="311"/>
      <c r="H2" s="11"/>
      <c r="I2" s="11"/>
      <c r="J2" s="11"/>
    </row>
    <row r="3" spans="2:10" ht="84.75" customHeight="1">
      <c r="B3" s="12" t="s">
        <v>13</v>
      </c>
      <c r="C3" s="13" t="s">
        <v>14</v>
      </c>
      <c r="D3" s="15" t="s">
        <v>162</v>
      </c>
      <c r="E3" s="15" t="s">
        <v>163</v>
      </c>
      <c r="F3" s="16" t="s">
        <v>17</v>
      </c>
      <c r="G3" s="17" t="s">
        <v>18</v>
      </c>
      <c r="H3" s="18" t="s">
        <v>27</v>
      </c>
      <c r="I3" s="18" t="s">
        <v>28</v>
      </c>
      <c r="J3" s="19" t="s">
        <v>30</v>
      </c>
    </row>
    <row r="4" spans="2:10" ht="15" customHeight="1">
      <c r="B4" s="115" t="s">
        <v>133</v>
      </c>
      <c r="C4" s="116" t="s">
        <v>134</v>
      </c>
      <c r="D4" s="117">
        <v>25</v>
      </c>
      <c r="E4" s="117">
        <f>SUM(F4:G4)/42</f>
        <v>21</v>
      </c>
      <c r="F4" s="118">
        <v>882</v>
      </c>
      <c r="G4" s="119"/>
      <c r="H4" s="120">
        <f>D4*42</f>
        <v>1050</v>
      </c>
      <c r="I4" s="120">
        <f aca="true" t="shared" si="0" ref="I4:I35">SUM(F4:G4)</f>
        <v>882</v>
      </c>
      <c r="J4" s="121">
        <f aca="true" t="shared" si="1" ref="J4:J35">(I4/H4)*100</f>
        <v>84</v>
      </c>
    </row>
    <row r="5" spans="2:10" ht="15" customHeight="1">
      <c r="B5" s="122" t="s">
        <v>135</v>
      </c>
      <c r="C5" s="23" t="s">
        <v>136</v>
      </c>
      <c r="D5" s="24">
        <v>25</v>
      </c>
      <c r="E5" s="123">
        <f>SUM(F5:G5)/42</f>
        <v>17</v>
      </c>
      <c r="F5" s="25"/>
      <c r="G5" s="26">
        <f>42+672</f>
        <v>714</v>
      </c>
      <c r="H5" s="28">
        <f>D5*42</f>
        <v>1050</v>
      </c>
      <c r="I5" s="28">
        <f t="shared" si="0"/>
        <v>714</v>
      </c>
      <c r="J5" s="124">
        <f t="shared" si="1"/>
        <v>68</v>
      </c>
    </row>
    <row r="6" spans="2:10" ht="15" customHeight="1">
      <c r="B6" s="122" t="s">
        <v>137</v>
      </c>
      <c r="C6" s="23" t="s">
        <v>138</v>
      </c>
      <c r="D6" s="24">
        <v>25</v>
      </c>
      <c r="E6" s="24">
        <f>SUM(F6:G6)/42</f>
        <v>13</v>
      </c>
      <c r="F6" s="25"/>
      <c r="G6" s="26">
        <v>546</v>
      </c>
      <c r="H6" s="28">
        <f>D6*42</f>
        <v>1050</v>
      </c>
      <c r="I6" s="28">
        <f t="shared" si="0"/>
        <v>546</v>
      </c>
      <c r="J6" s="124">
        <f t="shared" si="1"/>
        <v>52</v>
      </c>
    </row>
    <row r="7" spans="2:10" ht="15" customHeight="1">
      <c r="B7" s="122" t="s">
        <v>139</v>
      </c>
      <c r="C7" s="23" t="s">
        <v>140</v>
      </c>
      <c r="D7" s="24">
        <v>25</v>
      </c>
      <c r="E7" s="24">
        <f>SUM(F7:G7)/42</f>
        <v>23</v>
      </c>
      <c r="F7" s="25"/>
      <c r="G7" s="26">
        <v>966</v>
      </c>
      <c r="H7" s="28">
        <f>D7*42</f>
        <v>1050</v>
      </c>
      <c r="I7" s="28">
        <f t="shared" si="0"/>
        <v>966</v>
      </c>
      <c r="J7" s="124">
        <f t="shared" si="1"/>
        <v>92</v>
      </c>
    </row>
    <row r="8" spans="2:10" ht="15" customHeight="1">
      <c r="B8" s="125" t="s">
        <v>141</v>
      </c>
      <c r="C8" s="126" t="s">
        <v>142</v>
      </c>
      <c r="D8" s="127">
        <v>25</v>
      </c>
      <c r="E8" s="127">
        <f>SUM(F8:G8)/42</f>
        <v>22</v>
      </c>
      <c r="F8" s="128">
        <v>924</v>
      </c>
      <c r="G8" s="129"/>
      <c r="H8" s="130">
        <f>D8*42</f>
        <v>1050</v>
      </c>
      <c r="I8" s="130">
        <f t="shared" si="0"/>
        <v>924</v>
      </c>
      <c r="J8" s="131">
        <f t="shared" si="1"/>
        <v>88</v>
      </c>
    </row>
    <row r="9" spans="2:10" ht="15" customHeight="1">
      <c r="B9" s="22" t="s">
        <v>33</v>
      </c>
      <c r="C9" s="23" t="s">
        <v>34</v>
      </c>
      <c r="D9" s="24">
        <v>25</v>
      </c>
      <c r="E9" s="24">
        <f aca="true" t="shared" si="2" ref="E9:E54">SUM(F9:G9)/45</f>
        <v>25</v>
      </c>
      <c r="F9" s="25">
        <v>1125</v>
      </c>
      <c r="G9" s="26"/>
      <c r="H9" s="28">
        <f aca="true" t="shared" si="3" ref="H9:H54">D9*45</f>
        <v>1125</v>
      </c>
      <c r="I9" s="28">
        <f t="shared" si="0"/>
        <v>1125</v>
      </c>
      <c r="J9" s="30">
        <f t="shared" si="1"/>
        <v>100</v>
      </c>
    </row>
    <row r="10" spans="2:10" ht="15" customHeight="1">
      <c r="B10" s="22" t="s">
        <v>35</v>
      </c>
      <c r="C10" s="23" t="s">
        <v>36</v>
      </c>
      <c r="D10" s="24">
        <v>21</v>
      </c>
      <c r="E10" s="24">
        <f t="shared" si="2"/>
        <v>10</v>
      </c>
      <c r="F10" s="25"/>
      <c r="G10" s="26">
        <v>450</v>
      </c>
      <c r="H10" s="28">
        <f t="shared" si="3"/>
        <v>945</v>
      </c>
      <c r="I10" s="28">
        <f t="shared" si="0"/>
        <v>450</v>
      </c>
      <c r="J10" s="30">
        <f t="shared" si="1"/>
        <v>47.61904761904761</v>
      </c>
    </row>
    <row r="11" spans="2:10" ht="15" customHeight="1">
      <c r="B11" s="22" t="s">
        <v>37</v>
      </c>
      <c r="C11" s="23" t="s">
        <v>38</v>
      </c>
      <c r="D11" s="24">
        <v>22</v>
      </c>
      <c r="E11" s="24">
        <f t="shared" si="2"/>
        <v>12</v>
      </c>
      <c r="F11" s="25">
        <v>540</v>
      </c>
      <c r="G11" s="26"/>
      <c r="H11" s="28">
        <f t="shared" si="3"/>
        <v>990</v>
      </c>
      <c r="I11" s="28">
        <f t="shared" si="0"/>
        <v>540</v>
      </c>
      <c r="J11" s="30">
        <f t="shared" si="1"/>
        <v>54.54545454545454</v>
      </c>
    </row>
    <row r="12" spans="2:10" ht="15" customHeight="1">
      <c r="B12" s="22" t="s">
        <v>39</v>
      </c>
      <c r="C12" s="23" t="s">
        <v>40</v>
      </c>
      <c r="D12" s="24">
        <v>21</v>
      </c>
      <c r="E12" s="24">
        <f t="shared" si="2"/>
        <v>11</v>
      </c>
      <c r="F12" s="25"/>
      <c r="G12" s="26">
        <v>495</v>
      </c>
      <c r="H12" s="28">
        <f t="shared" si="3"/>
        <v>945</v>
      </c>
      <c r="I12" s="28">
        <f t="shared" si="0"/>
        <v>495</v>
      </c>
      <c r="J12" s="30">
        <f t="shared" si="1"/>
        <v>52.38095238095239</v>
      </c>
    </row>
    <row r="13" spans="2:10" ht="15" customHeight="1">
      <c r="B13" s="22" t="s">
        <v>41</v>
      </c>
      <c r="C13" s="23" t="s">
        <v>42</v>
      </c>
      <c r="D13" s="24">
        <v>20</v>
      </c>
      <c r="E13" s="24">
        <f t="shared" si="2"/>
        <v>11</v>
      </c>
      <c r="F13" s="25">
        <v>450</v>
      </c>
      <c r="G13" s="26">
        <v>45</v>
      </c>
      <c r="H13" s="28">
        <f t="shared" si="3"/>
        <v>900</v>
      </c>
      <c r="I13" s="28">
        <f t="shared" si="0"/>
        <v>495</v>
      </c>
      <c r="J13" s="30">
        <f t="shared" si="1"/>
        <v>55.00000000000001</v>
      </c>
    </row>
    <row r="14" spans="2:10" ht="15" customHeight="1">
      <c r="B14" s="22" t="s">
        <v>43</v>
      </c>
      <c r="C14" s="23" t="s">
        <v>44</v>
      </c>
      <c r="D14" s="24">
        <v>18</v>
      </c>
      <c r="E14" s="24">
        <f t="shared" si="2"/>
        <v>8</v>
      </c>
      <c r="F14" s="25"/>
      <c r="G14" s="26">
        <v>360</v>
      </c>
      <c r="H14" s="28">
        <f t="shared" si="3"/>
        <v>810</v>
      </c>
      <c r="I14" s="28">
        <f t="shared" si="0"/>
        <v>360</v>
      </c>
      <c r="J14" s="30">
        <f t="shared" si="1"/>
        <v>44.44444444444444</v>
      </c>
    </row>
    <row r="15" spans="2:10" ht="15" customHeight="1">
      <c r="B15" s="22" t="s">
        <v>45</v>
      </c>
      <c r="C15" s="23" t="s">
        <v>46</v>
      </c>
      <c r="D15" s="24">
        <v>20</v>
      </c>
      <c r="E15" s="24">
        <f t="shared" si="2"/>
        <v>11</v>
      </c>
      <c r="F15" s="25">
        <f>-45+540</f>
        <v>495</v>
      </c>
      <c r="G15" s="26"/>
      <c r="H15" s="28">
        <f t="shared" si="3"/>
        <v>900</v>
      </c>
      <c r="I15" s="28">
        <f t="shared" si="0"/>
        <v>495</v>
      </c>
      <c r="J15" s="30">
        <f t="shared" si="1"/>
        <v>55.00000000000001</v>
      </c>
    </row>
    <row r="16" spans="2:10" ht="15" customHeight="1">
      <c r="B16" s="22" t="s">
        <v>47</v>
      </c>
      <c r="C16" s="23" t="s">
        <v>48</v>
      </c>
      <c r="D16" s="24">
        <v>20</v>
      </c>
      <c r="E16" s="24">
        <f t="shared" si="2"/>
        <v>14</v>
      </c>
      <c r="F16" s="25">
        <v>630</v>
      </c>
      <c r="G16" s="26"/>
      <c r="H16" s="28">
        <f t="shared" si="3"/>
        <v>900</v>
      </c>
      <c r="I16" s="28">
        <f t="shared" si="0"/>
        <v>630</v>
      </c>
      <c r="J16" s="30">
        <f t="shared" si="1"/>
        <v>70</v>
      </c>
    </row>
    <row r="17" spans="2:10" ht="15" customHeight="1">
      <c r="B17" s="22" t="s">
        <v>49</v>
      </c>
      <c r="C17" s="23" t="s">
        <v>50</v>
      </c>
      <c r="D17" s="24">
        <v>19</v>
      </c>
      <c r="E17" s="24">
        <f t="shared" si="2"/>
        <v>15</v>
      </c>
      <c r="F17" s="25"/>
      <c r="G17" s="26">
        <v>675</v>
      </c>
      <c r="H17" s="28">
        <f t="shared" si="3"/>
        <v>855</v>
      </c>
      <c r="I17" s="28">
        <f t="shared" si="0"/>
        <v>675</v>
      </c>
      <c r="J17" s="30">
        <f t="shared" si="1"/>
        <v>78.94736842105263</v>
      </c>
    </row>
    <row r="18" spans="2:10" ht="15" customHeight="1">
      <c r="B18" s="22" t="s">
        <v>51</v>
      </c>
      <c r="C18" s="23" t="s">
        <v>52</v>
      </c>
      <c r="D18" s="24">
        <v>22</v>
      </c>
      <c r="E18" s="24">
        <f t="shared" si="2"/>
        <v>17</v>
      </c>
      <c r="F18" s="25"/>
      <c r="G18" s="26">
        <v>765</v>
      </c>
      <c r="H18" s="28">
        <f t="shared" si="3"/>
        <v>990</v>
      </c>
      <c r="I18" s="28">
        <f t="shared" si="0"/>
        <v>765</v>
      </c>
      <c r="J18" s="30">
        <f t="shared" si="1"/>
        <v>77.27272727272727</v>
      </c>
    </row>
    <row r="19" spans="2:10" ht="15" customHeight="1">
      <c r="B19" s="22" t="s">
        <v>53</v>
      </c>
      <c r="C19" s="23" t="s">
        <v>54</v>
      </c>
      <c r="D19" s="24">
        <v>22</v>
      </c>
      <c r="E19" s="24">
        <f t="shared" si="2"/>
        <v>9</v>
      </c>
      <c r="F19" s="25">
        <f>315+45</f>
        <v>360</v>
      </c>
      <c r="G19" s="26">
        <f>45</f>
        <v>45</v>
      </c>
      <c r="H19" s="28">
        <f t="shared" si="3"/>
        <v>990</v>
      </c>
      <c r="I19" s="28">
        <f t="shared" si="0"/>
        <v>405</v>
      </c>
      <c r="J19" s="30">
        <f t="shared" si="1"/>
        <v>40.909090909090914</v>
      </c>
    </row>
    <row r="20" spans="2:10" ht="15" customHeight="1">
      <c r="B20" s="22" t="s">
        <v>55</v>
      </c>
      <c r="C20" s="23" t="s">
        <v>56</v>
      </c>
      <c r="D20" s="24">
        <v>24</v>
      </c>
      <c r="E20" s="24">
        <f t="shared" si="2"/>
        <v>18</v>
      </c>
      <c r="F20" s="25"/>
      <c r="G20" s="26">
        <v>810</v>
      </c>
      <c r="H20" s="28">
        <f t="shared" si="3"/>
        <v>1080</v>
      </c>
      <c r="I20" s="28">
        <f t="shared" si="0"/>
        <v>810</v>
      </c>
      <c r="J20" s="30">
        <f t="shared" si="1"/>
        <v>75</v>
      </c>
    </row>
    <row r="21" spans="2:10" ht="15" customHeight="1">
      <c r="B21" s="22" t="s">
        <v>57</v>
      </c>
      <c r="C21" s="23" t="s">
        <v>58</v>
      </c>
      <c r="D21" s="24">
        <v>27</v>
      </c>
      <c r="E21" s="24">
        <f t="shared" si="2"/>
        <v>0</v>
      </c>
      <c r="F21" s="25"/>
      <c r="G21" s="26"/>
      <c r="H21" s="28">
        <f t="shared" si="3"/>
        <v>1215</v>
      </c>
      <c r="I21" s="28">
        <f t="shared" si="0"/>
        <v>0</v>
      </c>
      <c r="J21" s="30">
        <f t="shared" si="1"/>
        <v>0</v>
      </c>
    </row>
    <row r="22" spans="2:10" ht="15" customHeight="1">
      <c r="B22" s="22" t="s">
        <v>59</v>
      </c>
      <c r="C22" s="23" t="s">
        <v>60</v>
      </c>
      <c r="D22" s="24">
        <v>26</v>
      </c>
      <c r="E22" s="24">
        <f t="shared" si="2"/>
        <v>19</v>
      </c>
      <c r="F22" s="25"/>
      <c r="G22" s="26">
        <v>855</v>
      </c>
      <c r="H22" s="28">
        <f t="shared" si="3"/>
        <v>1170</v>
      </c>
      <c r="I22" s="28">
        <f t="shared" si="0"/>
        <v>855</v>
      </c>
      <c r="J22" s="30">
        <f t="shared" si="1"/>
        <v>73.07692307692307</v>
      </c>
    </row>
    <row r="23" spans="2:10" ht="15" customHeight="1">
      <c r="B23" s="22" t="s">
        <v>61</v>
      </c>
      <c r="C23" s="23" t="s">
        <v>62</v>
      </c>
      <c r="D23" s="24">
        <v>27</v>
      </c>
      <c r="E23" s="24">
        <f t="shared" si="2"/>
        <v>11</v>
      </c>
      <c r="F23" s="25"/>
      <c r="G23" s="26">
        <f>45+450</f>
        <v>495</v>
      </c>
      <c r="H23" s="28">
        <f t="shared" si="3"/>
        <v>1215</v>
      </c>
      <c r="I23" s="28">
        <f t="shared" si="0"/>
        <v>495</v>
      </c>
      <c r="J23" s="30">
        <f t="shared" si="1"/>
        <v>40.74074074074074</v>
      </c>
    </row>
    <row r="24" spans="2:10" ht="15" customHeight="1">
      <c r="B24" s="22" t="s">
        <v>63</v>
      </c>
      <c r="C24" s="23" t="s">
        <v>64</v>
      </c>
      <c r="D24" s="24">
        <v>27</v>
      </c>
      <c r="E24" s="24">
        <f t="shared" si="2"/>
        <v>11</v>
      </c>
      <c r="F24" s="25"/>
      <c r="G24" s="26">
        <v>495</v>
      </c>
      <c r="H24" s="28">
        <f t="shared" si="3"/>
        <v>1215</v>
      </c>
      <c r="I24" s="28">
        <f t="shared" si="0"/>
        <v>495</v>
      </c>
      <c r="J24" s="30">
        <f t="shared" si="1"/>
        <v>40.74074074074074</v>
      </c>
    </row>
    <row r="25" spans="2:10" ht="15" customHeight="1">
      <c r="B25" s="22" t="s">
        <v>65</v>
      </c>
      <c r="C25" s="23" t="s">
        <v>66</v>
      </c>
      <c r="D25" s="24">
        <v>25</v>
      </c>
      <c r="E25" s="24">
        <f t="shared" si="2"/>
        <v>10</v>
      </c>
      <c r="F25" s="25"/>
      <c r="G25" s="26">
        <v>450</v>
      </c>
      <c r="H25" s="28">
        <f t="shared" si="3"/>
        <v>1125</v>
      </c>
      <c r="I25" s="28">
        <f t="shared" si="0"/>
        <v>450</v>
      </c>
      <c r="J25" s="30">
        <f t="shared" si="1"/>
        <v>40</v>
      </c>
    </row>
    <row r="26" spans="2:10" ht="15" customHeight="1">
      <c r="B26" s="22" t="s">
        <v>67</v>
      </c>
      <c r="C26" s="23" t="s">
        <v>68</v>
      </c>
      <c r="D26" s="24">
        <v>25</v>
      </c>
      <c r="E26" s="24">
        <f t="shared" si="2"/>
        <v>13</v>
      </c>
      <c r="F26" s="25"/>
      <c r="G26" s="26">
        <v>585</v>
      </c>
      <c r="H26" s="28">
        <f t="shared" si="3"/>
        <v>1125</v>
      </c>
      <c r="I26" s="28">
        <f t="shared" si="0"/>
        <v>585</v>
      </c>
      <c r="J26" s="30">
        <f t="shared" si="1"/>
        <v>52</v>
      </c>
    </row>
    <row r="27" spans="2:10" ht="15" customHeight="1">
      <c r="B27" s="22" t="s">
        <v>69</v>
      </c>
      <c r="C27" s="23" t="s">
        <v>70</v>
      </c>
      <c r="D27" s="24">
        <v>25</v>
      </c>
      <c r="E27" s="24">
        <f t="shared" si="2"/>
        <v>8</v>
      </c>
      <c r="F27" s="25"/>
      <c r="G27" s="26">
        <f>315+45</f>
        <v>360</v>
      </c>
      <c r="H27" s="28">
        <f t="shared" si="3"/>
        <v>1125</v>
      </c>
      <c r="I27" s="28">
        <f t="shared" si="0"/>
        <v>360</v>
      </c>
      <c r="J27" s="30">
        <f t="shared" si="1"/>
        <v>32</v>
      </c>
    </row>
    <row r="28" spans="2:10" ht="15" customHeight="1">
      <c r="B28" s="22" t="s">
        <v>143</v>
      </c>
      <c r="C28" s="23" t="s">
        <v>72</v>
      </c>
      <c r="D28" s="24">
        <v>25</v>
      </c>
      <c r="E28" s="24">
        <f t="shared" si="2"/>
        <v>5</v>
      </c>
      <c r="F28" s="25"/>
      <c r="G28" s="26">
        <v>225</v>
      </c>
      <c r="H28" s="28">
        <f t="shared" si="3"/>
        <v>1125</v>
      </c>
      <c r="I28" s="28">
        <f t="shared" si="0"/>
        <v>225</v>
      </c>
      <c r="J28" s="30">
        <f t="shared" si="1"/>
        <v>20</v>
      </c>
    </row>
    <row r="29" spans="2:10" ht="15" customHeight="1">
      <c r="B29" s="22" t="s">
        <v>73</v>
      </c>
      <c r="C29" s="23" t="s">
        <v>74</v>
      </c>
      <c r="D29" s="24">
        <v>26</v>
      </c>
      <c r="E29" s="24">
        <f t="shared" si="2"/>
        <v>6</v>
      </c>
      <c r="F29" s="25"/>
      <c r="G29" s="26">
        <v>270</v>
      </c>
      <c r="H29" s="28">
        <f t="shared" si="3"/>
        <v>1170</v>
      </c>
      <c r="I29" s="28">
        <f t="shared" si="0"/>
        <v>270</v>
      </c>
      <c r="J29" s="30">
        <f t="shared" si="1"/>
        <v>23.076923076923077</v>
      </c>
    </row>
    <row r="30" spans="2:10" ht="15" customHeight="1">
      <c r="B30" s="22" t="s">
        <v>75</v>
      </c>
      <c r="C30" s="23" t="s">
        <v>76</v>
      </c>
      <c r="D30" s="24">
        <v>20</v>
      </c>
      <c r="E30" s="24">
        <f t="shared" si="2"/>
        <v>4</v>
      </c>
      <c r="F30" s="25"/>
      <c r="G30" s="26">
        <v>180</v>
      </c>
      <c r="H30" s="28">
        <f t="shared" si="3"/>
        <v>900</v>
      </c>
      <c r="I30" s="28">
        <f t="shared" si="0"/>
        <v>180</v>
      </c>
      <c r="J30" s="30">
        <f t="shared" si="1"/>
        <v>20</v>
      </c>
    </row>
    <row r="31" spans="2:10" ht="15" customHeight="1">
      <c r="B31" s="22" t="s">
        <v>77</v>
      </c>
      <c r="C31" s="23" t="s">
        <v>78</v>
      </c>
      <c r="D31" s="24">
        <v>23</v>
      </c>
      <c r="E31" s="24">
        <f t="shared" si="2"/>
        <v>7</v>
      </c>
      <c r="F31" s="25"/>
      <c r="G31" s="26">
        <f>270+45</f>
        <v>315</v>
      </c>
      <c r="H31" s="28">
        <f t="shared" si="3"/>
        <v>1035</v>
      </c>
      <c r="I31" s="28">
        <f t="shared" si="0"/>
        <v>315</v>
      </c>
      <c r="J31" s="30">
        <f t="shared" si="1"/>
        <v>30.434782608695656</v>
      </c>
    </row>
    <row r="32" spans="2:10" ht="15" customHeight="1">
      <c r="B32" s="22" t="s">
        <v>79</v>
      </c>
      <c r="C32" s="23" t="s">
        <v>80</v>
      </c>
      <c r="D32" s="24">
        <v>16</v>
      </c>
      <c r="E32" s="24">
        <f t="shared" si="2"/>
        <v>8</v>
      </c>
      <c r="F32" s="25">
        <v>315</v>
      </c>
      <c r="G32" s="26">
        <v>45</v>
      </c>
      <c r="H32" s="28">
        <f t="shared" si="3"/>
        <v>720</v>
      </c>
      <c r="I32" s="28">
        <f t="shared" si="0"/>
        <v>360</v>
      </c>
      <c r="J32" s="30">
        <f t="shared" si="1"/>
        <v>50</v>
      </c>
    </row>
    <row r="33" spans="2:10" ht="15" customHeight="1">
      <c r="B33" s="22" t="s">
        <v>81</v>
      </c>
      <c r="C33" s="23" t="s">
        <v>82</v>
      </c>
      <c r="D33" s="24">
        <v>20</v>
      </c>
      <c r="E33" s="24">
        <f t="shared" si="2"/>
        <v>13</v>
      </c>
      <c r="F33" s="25">
        <v>540</v>
      </c>
      <c r="G33" s="26">
        <f>45</f>
        <v>45</v>
      </c>
      <c r="H33" s="28">
        <f t="shared" si="3"/>
        <v>900</v>
      </c>
      <c r="I33" s="28">
        <f t="shared" si="0"/>
        <v>585</v>
      </c>
      <c r="J33" s="30">
        <f t="shared" si="1"/>
        <v>65</v>
      </c>
    </row>
    <row r="34" spans="2:10" ht="15" customHeight="1">
      <c r="B34" s="22" t="s">
        <v>83</v>
      </c>
      <c r="C34" s="23" t="s">
        <v>84</v>
      </c>
      <c r="D34" s="24">
        <v>25</v>
      </c>
      <c r="E34" s="24">
        <f t="shared" si="2"/>
        <v>16</v>
      </c>
      <c r="F34" s="25"/>
      <c r="G34" s="26">
        <v>720</v>
      </c>
      <c r="H34" s="28">
        <f t="shared" si="3"/>
        <v>1125</v>
      </c>
      <c r="I34" s="28">
        <f t="shared" si="0"/>
        <v>720</v>
      </c>
      <c r="J34" s="30">
        <f t="shared" si="1"/>
        <v>64</v>
      </c>
    </row>
    <row r="35" spans="2:10" ht="15" customHeight="1">
      <c r="B35" s="22" t="s">
        <v>85</v>
      </c>
      <c r="C35" s="23" t="s">
        <v>86</v>
      </c>
      <c r="D35" s="33">
        <v>23</v>
      </c>
      <c r="E35" s="24">
        <f t="shared" si="2"/>
        <v>15</v>
      </c>
      <c r="F35" s="25">
        <v>675</v>
      </c>
      <c r="G35" s="26"/>
      <c r="H35" s="28">
        <f t="shared" si="3"/>
        <v>1035</v>
      </c>
      <c r="I35" s="28">
        <f t="shared" si="0"/>
        <v>675</v>
      </c>
      <c r="J35" s="30">
        <f t="shared" si="1"/>
        <v>65.21739130434783</v>
      </c>
    </row>
    <row r="36" spans="2:10" ht="15" customHeight="1">
      <c r="B36" s="22" t="s">
        <v>87</v>
      </c>
      <c r="C36" s="23" t="s">
        <v>88</v>
      </c>
      <c r="D36" s="24">
        <v>20</v>
      </c>
      <c r="E36" s="24">
        <f t="shared" si="2"/>
        <v>10</v>
      </c>
      <c r="F36" s="25">
        <f>45+405</f>
        <v>450</v>
      </c>
      <c r="G36" s="26"/>
      <c r="H36" s="28">
        <f t="shared" si="3"/>
        <v>900</v>
      </c>
      <c r="I36" s="28">
        <f aca="true" t="shared" si="4" ref="I36:I54">SUM(F36:G36)</f>
        <v>450</v>
      </c>
      <c r="J36" s="30">
        <f aca="true" t="shared" si="5" ref="J36:J67">(I36/H36)*100</f>
        <v>50</v>
      </c>
    </row>
    <row r="37" spans="2:10" ht="15" customHeight="1">
      <c r="B37" s="22" t="s">
        <v>89</v>
      </c>
      <c r="C37" s="23" t="s">
        <v>90</v>
      </c>
      <c r="D37" s="24">
        <v>19</v>
      </c>
      <c r="E37" s="24">
        <f t="shared" si="2"/>
        <v>16</v>
      </c>
      <c r="F37" s="25">
        <v>45</v>
      </c>
      <c r="G37" s="26">
        <f>15*45</f>
        <v>675</v>
      </c>
      <c r="H37" s="28">
        <f t="shared" si="3"/>
        <v>855</v>
      </c>
      <c r="I37" s="28">
        <f t="shared" si="4"/>
        <v>720</v>
      </c>
      <c r="J37" s="30">
        <f t="shared" si="5"/>
        <v>84.21052631578947</v>
      </c>
    </row>
    <row r="38" spans="2:10" ht="15" customHeight="1">
      <c r="B38" s="22" t="s">
        <v>91</v>
      </c>
      <c r="C38" s="23" t="s">
        <v>92</v>
      </c>
      <c r="D38" s="24">
        <v>23</v>
      </c>
      <c r="E38" s="24">
        <f t="shared" si="2"/>
        <v>10</v>
      </c>
      <c r="F38" s="25"/>
      <c r="G38" s="26">
        <f>45+90+45+45+225</f>
        <v>450</v>
      </c>
      <c r="H38" s="28">
        <f t="shared" si="3"/>
        <v>1035</v>
      </c>
      <c r="I38" s="28">
        <f t="shared" si="4"/>
        <v>450</v>
      </c>
      <c r="J38" s="30">
        <f t="shared" si="5"/>
        <v>43.47826086956522</v>
      </c>
    </row>
    <row r="39" spans="2:10" ht="15" customHeight="1">
      <c r="B39" s="22" t="s">
        <v>93</v>
      </c>
      <c r="C39" s="23" t="s">
        <v>94</v>
      </c>
      <c r="D39" s="24">
        <v>26</v>
      </c>
      <c r="E39" s="24">
        <f t="shared" si="2"/>
        <v>0</v>
      </c>
      <c r="F39" s="25"/>
      <c r="G39" s="26"/>
      <c r="H39" s="28">
        <f t="shared" si="3"/>
        <v>1170</v>
      </c>
      <c r="I39" s="28">
        <f t="shared" si="4"/>
        <v>0</v>
      </c>
      <c r="J39" s="30">
        <f t="shared" si="5"/>
        <v>0</v>
      </c>
    </row>
    <row r="40" spans="2:10" ht="15" customHeight="1">
      <c r="B40" s="22" t="s">
        <v>95</v>
      </c>
      <c r="C40" s="23" t="s">
        <v>96</v>
      </c>
      <c r="D40" s="24">
        <v>20</v>
      </c>
      <c r="E40" s="24">
        <f t="shared" si="2"/>
        <v>5</v>
      </c>
      <c r="F40" s="25">
        <f>45+45+135</f>
        <v>225</v>
      </c>
      <c r="G40" s="26"/>
      <c r="H40" s="28">
        <f t="shared" si="3"/>
        <v>900</v>
      </c>
      <c r="I40" s="28">
        <f t="shared" si="4"/>
        <v>225</v>
      </c>
      <c r="J40" s="30">
        <f t="shared" si="5"/>
        <v>25</v>
      </c>
    </row>
    <row r="41" spans="2:10" ht="15" customHeight="1">
      <c r="B41" s="22" t="s">
        <v>97</v>
      </c>
      <c r="C41" s="23" t="s">
        <v>98</v>
      </c>
      <c r="D41" s="24">
        <v>27</v>
      </c>
      <c r="E41" s="24">
        <f t="shared" si="2"/>
        <v>19</v>
      </c>
      <c r="F41" s="25">
        <v>810</v>
      </c>
      <c r="G41" s="26">
        <v>45</v>
      </c>
      <c r="H41" s="28">
        <f t="shared" si="3"/>
        <v>1215</v>
      </c>
      <c r="I41" s="28">
        <f t="shared" si="4"/>
        <v>855</v>
      </c>
      <c r="J41" s="30">
        <f t="shared" si="5"/>
        <v>70.37037037037037</v>
      </c>
    </row>
    <row r="42" spans="2:10" ht="15" customHeight="1">
      <c r="B42" s="22" t="s">
        <v>99</v>
      </c>
      <c r="C42" s="23" t="s">
        <v>100</v>
      </c>
      <c r="D42" s="24">
        <v>25</v>
      </c>
      <c r="E42" s="24">
        <f t="shared" si="2"/>
        <v>3</v>
      </c>
      <c r="F42" s="25"/>
      <c r="G42" s="26">
        <f>90+45</f>
        <v>135</v>
      </c>
      <c r="H42" s="28">
        <f t="shared" si="3"/>
        <v>1125</v>
      </c>
      <c r="I42" s="28">
        <f t="shared" si="4"/>
        <v>135</v>
      </c>
      <c r="J42" s="30">
        <f t="shared" si="5"/>
        <v>12</v>
      </c>
    </row>
    <row r="43" spans="2:10" ht="15" customHeight="1">
      <c r="B43" s="22" t="s">
        <v>101</v>
      </c>
      <c r="C43" s="23" t="s">
        <v>102</v>
      </c>
      <c r="D43" s="24">
        <v>26</v>
      </c>
      <c r="E43" s="24">
        <f t="shared" si="2"/>
        <v>11</v>
      </c>
      <c r="F43" s="25"/>
      <c r="G43" s="26">
        <f>45+450</f>
        <v>495</v>
      </c>
      <c r="H43" s="28">
        <f t="shared" si="3"/>
        <v>1170</v>
      </c>
      <c r="I43" s="28">
        <f t="shared" si="4"/>
        <v>495</v>
      </c>
      <c r="J43" s="30">
        <f t="shared" si="5"/>
        <v>42.30769230769231</v>
      </c>
    </row>
    <row r="44" spans="2:10" ht="15" customHeight="1">
      <c r="B44" s="22" t="s">
        <v>103</v>
      </c>
      <c r="C44" s="23" t="s">
        <v>104</v>
      </c>
      <c r="D44" s="24">
        <v>26</v>
      </c>
      <c r="E44" s="24">
        <f t="shared" si="2"/>
        <v>16</v>
      </c>
      <c r="F44" s="25"/>
      <c r="G44" s="26">
        <v>720</v>
      </c>
      <c r="H44" s="28">
        <f t="shared" si="3"/>
        <v>1170</v>
      </c>
      <c r="I44" s="28">
        <f t="shared" si="4"/>
        <v>720</v>
      </c>
      <c r="J44" s="30">
        <f t="shared" si="5"/>
        <v>61.53846153846154</v>
      </c>
    </row>
    <row r="45" spans="2:10" ht="15" customHeight="1">
      <c r="B45" s="22" t="s">
        <v>105</v>
      </c>
      <c r="C45" s="23" t="s">
        <v>106</v>
      </c>
      <c r="D45" s="24">
        <v>27</v>
      </c>
      <c r="E45" s="24">
        <f t="shared" si="2"/>
        <v>11</v>
      </c>
      <c r="F45" s="25"/>
      <c r="G45" s="26">
        <f>450+45</f>
        <v>495</v>
      </c>
      <c r="H45" s="28">
        <f t="shared" si="3"/>
        <v>1215</v>
      </c>
      <c r="I45" s="28">
        <f t="shared" si="4"/>
        <v>495</v>
      </c>
      <c r="J45" s="30">
        <f t="shared" si="5"/>
        <v>40.74074074074074</v>
      </c>
    </row>
    <row r="46" spans="2:10" ht="15" customHeight="1">
      <c r="B46" s="22" t="s">
        <v>107</v>
      </c>
      <c r="C46" s="23" t="s">
        <v>108</v>
      </c>
      <c r="D46" s="24">
        <v>27</v>
      </c>
      <c r="E46" s="24">
        <f t="shared" si="2"/>
        <v>12</v>
      </c>
      <c r="F46" s="25"/>
      <c r="G46" s="26">
        <f>450+90</f>
        <v>540</v>
      </c>
      <c r="H46" s="28">
        <f t="shared" si="3"/>
        <v>1215</v>
      </c>
      <c r="I46" s="28">
        <f t="shared" si="4"/>
        <v>540</v>
      </c>
      <c r="J46" s="30">
        <f t="shared" si="5"/>
        <v>44.44444444444444</v>
      </c>
    </row>
    <row r="47" spans="2:10" ht="15" customHeight="1">
      <c r="B47" s="22" t="s">
        <v>109</v>
      </c>
      <c r="C47" s="23" t="s">
        <v>110</v>
      </c>
      <c r="D47" s="24">
        <v>17</v>
      </c>
      <c r="E47" s="24">
        <f t="shared" si="2"/>
        <v>9</v>
      </c>
      <c r="F47" s="25"/>
      <c r="G47" s="26">
        <f>360+45</f>
        <v>405</v>
      </c>
      <c r="H47" s="28">
        <f t="shared" si="3"/>
        <v>765</v>
      </c>
      <c r="I47" s="28">
        <f t="shared" si="4"/>
        <v>405</v>
      </c>
      <c r="J47" s="30">
        <f t="shared" si="5"/>
        <v>52.94117647058824</v>
      </c>
    </row>
    <row r="48" spans="2:10" ht="15" customHeight="1">
      <c r="B48" s="22" t="s">
        <v>111</v>
      </c>
      <c r="C48" s="23" t="s">
        <v>112</v>
      </c>
      <c r="D48" s="24">
        <v>24</v>
      </c>
      <c r="E48" s="24">
        <f t="shared" si="2"/>
        <v>11</v>
      </c>
      <c r="F48" s="25"/>
      <c r="G48" s="26">
        <v>495</v>
      </c>
      <c r="H48" s="28">
        <f t="shared" si="3"/>
        <v>1080</v>
      </c>
      <c r="I48" s="28">
        <f t="shared" si="4"/>
        <v>495</v>
      </c>
      <c r="J48" s="30">
        <f t="shared" si="5"/>
        <v>45.83333333333333</v>
      </c>
    </row>
    <row r="49" spans="2:10" ht="15" customHeight="1">
      <c r="B49" s="22" t="s">
        <v>113</v>
      </c>
      <c r="C49" s="23" t="s">
        <v>114</v>
      </c>
      <c r="D49" s="24">
        <v>21</v>
      </c>
      <c r="E49" s="24">
        <f t="shared" si="2"/>
        <v>18</v>
      </c>
      <c r="F49" s="25">
        <f>45</f>
        <v>45</v>
      </c>
      <c r="G49" s="26">
        <f>720+45</f>
        <v>765</v>
      </c>
      <c r="H49" s="28">
        <f t="shared" si="3"/>
        <v>945</v>
      </c>
      <c r="I49" s="28">
        <f t="shared" si="4"/>
        <v>810</v>
      </c>
      <c r="J49" s="30">
        <f t="shared" si="5"/>
        <v>85.71428571428571</v>
      </c>
    </row>
    <row r="50" spans="2:10" ht="15" customHeight="1">
      <c r="B50" s="22" t="s">
        <v>115</v>
      </c>
      <c r="C50" s="23" t="s">
        <v>116</v>
      </c>
      <c r="D50" s="24">
        <v>18</v>
      </c>
      <c r="E50" s="24">
        <f t="shared" si="2"/>
        <v>9</v>
      </c>
      <c r="F50" s="25"/>
      <c r="G50" s="26">
        <v>405</v>
      </c>
      <c r="H50" s="28">
        <f t="shared" si="3"/>
        <v>810</v>
      </c>
      <c r="I50" s="28">
        <f t="shared" si="4"/>
        <v>405</v>
      </c>
      <c r="J50" s="30">
        <f t="shared" si="5"/>
        <v>50</v>
      </c>
    </row>
    <row r="51" spans="2:10" ht="15" customHeight="1">
      <c r="B51" s="22" t="s">
        <v>117</v>
      </c>
      <c r="C51" s="23" t="s">
        <v>118</v>
      </c>
      <c r="D51" s="24">
        <v>16</v>
      </c>
      <c r="E51" s="24">
        <f t="shared" si="2"/>
        <v>11</v>
      </c>
      <c r="F51" s="25"/>
      <c r="G51" s="26">
        <v>495</v>
      </c>
      <c r="H51" s="28">
        <f t="shared" si="3"/>
        <v>720</v>
      </c>
      <c r="I51" s="28">
        <f t="shared" si="4"/>
        <v>495</v>
      </c>
      <c r="J51" s="30">
        <f t="shared" si="5"/>
        <v>68.75</v>
      </c>
    </row>
    <row r="52" spans="2:10" ht="15" customHeight="1">
      <c r="B52" s="22" t="s">
        <v>119</v>
      </c>
      <c r="C52" s="23" t="s">
        <v>120</v>
      </c>
      <c r="D52" s="24">
        <v>17</v>
      </c>
      <c r="E52" s="24">
        <f t="shared" si="2"/>
        <v>7</v>
      </c>
      <c r="F52" s="25"/>
      <c r="G52" s="26">
        <v>315</v>
      </c>
      <c r="H52" s="28">
        <f t="shared" si="3"/>
        <v>765</v>
      </c>
      <c r="I52" s="28">
        <f t="shared" si="4"/>
        <v>315</v>
      </c>
      <c r="J52" s="30">
        <f t="shared" si="5"/>
        <v>41.17647058823529</v>
      </c>
    </row>
    <row r="53" spans="2:10" ht="15" customHeight="1">
      <c r="B53" s="22" t="s">
        <v>121</v>
      </c>
      <c r="C53" s="23" t="s">
        <v>122</v>
      </c>
      <c r="D53" s="24">
        <v>22</v>
      </c>
      <c r="E53" s="24">
        <f t="shared" si="2"/>
        <v>10</v>
      </c>
      <c r="F53" s="25">
        <v>405</v>
      </c>
      <c r="G53" s="26">
        <v>45</v>
      </c>
      <c r="H53" s="28">
        <f t="shared" si="3"/>
        <v>990</v>
      </c>
      <c r="I53" s="28">
        <f t="shared" si="4"/>
        <v>450</v>
      </c>
      <c r="J53" s="30">
        <f t="shared" si="5"/>
        <v>45.45454545454545</v>
      </c>
    </row>
    <row r="54" spans="2:10" ht="15" customHeight="1">
      <c r="B54" s="22" t="s">
        <v>123</v>
      </c>
      <c r="C54" s="23" t="s">
        <v>124</v>
      </c>
      <c r="D54" s="24">
        <v>20</v>
      </c>
      <c r="E54" s="24">
        <f t="shared" si="2"/>
        <v>13</v>
      </c>
      <c r="F54" s="25"/>
      <c r="G54" s="26">
        <v>585</v>
      </c>
      <c r="H54" s="28">
        <f t="shared" si="3"/>
        <v>900</v>
      </c>
      <c r="I54" s="28">
        <f t="shared" si="4"/>
        <v>585</v>
      </c>
      <c r="J54" s="30">
        <f t="shared" si="5"/>
        <v>65</v>
      </c>
    </row>
    <row r="55" spans="2:10" ht="15" customHeight="1">
      <c r="B55" s="34"/>
      <c r="C55" s="35" t="s">
        <v>125</v>
      </c>
      <c r="D55" s="36">
        <f aca="true" t="shared" si="6" ref="D55:I55">SUM(D4:D54)</f>
        <v>1160</v>
      </c>
      <c r="E55" s="36">
        <f t="shared" si="6"/>
        <v>604</v>
      </c>
      <c r="F55" s="37">
        <f t="shared" si="6"/>
        <v>8916</v>
      </c>
      <c r="G55" s="37">
        <f t="shared" si="6"/>
        <v>17976</v>
      </c>
      <c r="H55" s="38">
        <f t="shared" si="6"/>
        <v>51825</v>
      </c>
      <c r="I55" s="38">
        <f t="shared" si="6"/>
        <v>26892</v>
      </c>
      <c r="J55" s="40">
        <f t="shared" si="5"/>
        <v>51.890014471780034</v>
      </c>
    </row>
    <row r="56" spans="2:10" ht="12.75" customHeight="1">
      <c r="B56" s="9"/>
      <c r="C56" s="9"/>
      <c r="D56" s="312" t="s">
        <v>15</v>
      </c>
      <c r="E56" s="42"/>
      <c r="F56" s="42"/>
      <c r="G56" s="42"/>
      <c r="H56" s="313" t="s">
        <v>27</v>
      </c>
      <c r="I56" s="314" t="s">
        <v>28</v>
      </c>
      <c r="J56" s="315" t="s">
        <v>30</v>
      </c>
    </row>
    <row r="57" spans="2:10" ht="20.25" customHeight="1">
      <c r="B57" s="9"/>
      <c r="C57" s="9"/>
      <c r="D57" s="312"/>
      <c r="E57" s="42"/>
      <c r="F57" s="42"/>
      <c r="G57" s="42"/>
      <c r="H57" s="313"/>
      <c r="I57" s="313"/>
      <c r="J57" s="315"/>
    </row>
    <row r="58" spans="2:10" ht="20.25" customHeight="1">
      <c r="B58" s="9"/>
      <c r="C58" s="9"/>
      <c r="D58" s="312"/>
      <c r="E58" s="42"/>
      <c r="F58" s="42"/>
      <c r="G58" s="42"/>
      <c r="H58" s="313"/>
      <c r="I58" s="313"/>
      <c r="J58" s="315"/>
    </row>
    <row r="59" spans="2:10" ht="36" customHeight="1">
      <c r="B59" s="9"/>
      <c r="C59" s="9"/>
      <c r="D59" s="312"/>
      <c r="E59" s="42"/>
      <c r="F59" s="42"/>
      <c r="G59" s="42"/>
      <c r="H59" s="313"/>
      <c r="I59" s="313"/>
      <c r="J59" s="315"/>
    </row>
    <row r="60" ht="14.25" customHeight="1"/>
    <row r="61" ht="14.25" customHeight="1"/>
    <row r="62" spans="2:7" s="6" customFormat="1" ht="14.25">
      <c r="B62" s="7"/>
      <c r="C62"/>
      <c r="D62"/>
      <c r="E62"/>
      <c r="F62"/>
      <c r="G62"/>
    </row>
    <row r="63" spans="2:11" ht="14.25">
      <c r="B63" s="44"/>
      <c r="C63"/>
      <c r="D63"/>
      <c r="E63"/>
      <c r="F63"/>
      <c r="G63"/>
      <c r="H63" s="46"/>
      <c r="I63" s="46"/>
      <c r="J63" s="46"/>
      <c r="K63" s="47"/>
    </row>
  </sheetData>
  <sheetProtection selectLockedCells="1" selectUnlockedCells="1"/>
  <mergeCells count="6">
    <mergeCell ref="B1:J1"/>
    <mergeCell ref="C2:G2"/>
    <mergeCell ref="D56:D59"/>
    <mergeCell ref="H56:H59"/>
    <mergeCell ref="I56:I59"/>
    <mergeCell ref="J56:J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zoomScalePageLayoutView="0" workbookViewId="0" topLeftCell="A1">
      <selection activeCell="A5" sqref="A5"/>
    </sheetView>
  </sheetViews>
  <sheetFormatPr defaultColWidth="9.140625" defaultRowHeight="15" outlineLevelRow="1" outlineLevelCol="1"/>
  <cols>
    <col min="1" max="1" width="73.140625" style="132" customWidth="1" outlineLevel="1"/>
    <col min="2" max="2" width="18.00390625" style="133" customWidth="1"/>
    <col min="3" max="3" width="42.140625" style="134" customWidth="1" outlineLevel="1"/>
    <col min="4" max="4" width="11.28125" style="134" customWidth="1"/>
    <col min="5" max="5" width="24.7109375" style="132" customWidth="1" outlineLevel="1"/>
    <col min="6" max="6" width="10.140625" style="135" customWidth="1"/>
    <col min="7" max="7" width="30.7109375" style="132" customWidth="1" outlineLevel="1"/>
    <col min="8" max="8" width="13.140625" style="135" customWidth="1"/>
    <col min="9" max="9" width="15.8515625" style="135" customWidth="1"/>
    <col min="10" max="10" width="14.7109375" style="132" customWidth="1"/>
    <col min="11" max="11" width="26.140625" style="132" customWidth="1"/>
    <col min="12" max="12" width="15.00390625" style="136" customWidth="1"/>
    <col min="13" max="13" width="10.7109375" style="135" customWidth="1"/>
    <col min="14" max="14" width="9.140625" style="132" customWidth="1"/>
    <col min="15" max="16" width="13.8515625" style="132" customWidth="1"/>
    <col min="17" max="16384" width="9.140625" style="132" customWidth="1"/>
  </cols>
  <sheetData>
    <row r="1" spans="1:256" ht="97.5" customHeight="1">
      <c r="A1" s="336" t="s">
        <v>164</v>
      </c>
      <c r="B1" s="336"/>
      <c r="C1" s="337" t="s">
        <v>165</v>
      </c>
      <c r="D1" s="337"/>
      <c r="E1" s="338" t="s">
        <v>166</v>
      </c>
      <c r="F1" s="338"/>
      <c r="G1" s="339" t="s">
        <v>167</v>
      </c>
      <c r="H1" s="339"/>
      <c r="I1" s="340" t="s">
        <v>168</v>
      </c>
      <c r="J1" s="340"/>
      <c r="K1" s="341" t="s">
        <v>169</v>
      </c>
      <c r="L1" s="341"/>
      <c r="M1" s="132"/>
      <c r="IV1"/>
    </row>
    <row r="2" spans="1:256" ht="15" customHeight="1">
      <c r="A2" s="137" t="s">
        <v>170</v>
      </c>
      <c r="B2" s="138">
        <f>'Wpłaty na Radę Rodziców'!C58</f>
        <v>13065.787</v>
      </c>
      <c r="C2" s="139"/>
      <c r="D2" s="139"/>
      <c r="E2" s="140" t="s">
        <v>171</v>
      </c>
      <c r="F2" s="141">
        <f>'Wpłaty na Basen'!R22+'Wpłaty na Basen'!AC22</f>
        <v>-332</v>
      </c>
      <c r="G2" s="142" t="s">
        <v>171</v>
      </c>
      <c r="H2" s="143">
        <f>'Wpłaty na Ksero'!Q55+'Wpłaty na Ksero'!E55</f>
        <v>32603.760000000002</v>
      </c>
      <c r="I2" s="144" t="s">
        <v>172</v>
      </c>
      <c r="J2" s="145">
        <f>'Wpłaty na Radę Rodziców'!T50</f>
        <v>6013.6230000000005</v>
      </c>
      <c r="K2" s="146" t="s">
        <v>173</v>
      </c>
      <c r="L2" s="147">
        <f>SUM(L5:L64)</f>
        <v>0</v>
      </c>
      <c r="M2" s="132"/>
      <c r="IV2"/>
    </row>
    <row r="3" spans="1:256" ht="15" customHeight="1">
      <c r="A3" s="148" t="s">
        <v>174</v>
      </c>
      <c r="B3" s="149">
        <f>SUM(B5:B64)</f>
        <v>16713.55</v>
      </c>
      <c r="C3" s="150" t="s">
        <v>174</v>
      </c>
      <c r="D3" s="151">
        <f>SUM(D5:D21)</f>
        <v>1753</v>
      </c>
      <c r="E3" s="152" t="s">
        <v>174</v>
      </c>
      <c r="F3" s="153">
        <f>SUM(F5:F21)</f>
        <v>0</v>
      </c>
      <c r="G3" s="154" t="s">
        <v>174</v>
      </c>
      <c r="H3" s="155">
        <f>SUM(H5:H26)</f>
        <v>13028.75</v>
      </c>
      <c r="I3" s="156" t="s">
        <v>174</v>
      </c>
      <c r="J3" s="157"/>
      <c r="K3" s="158"/>
      <c r="L3" s="159"/>
      <c r="M3" s="132"/>
      <c r="IV3"/>
    </row>
    <row r="4" spans="1:256" ht="29.25" customHeight="1">
      <c r="A4" s="160" t="s">
        <v>175</v>
      </c>
      <c r="B4" s="161">
        <f>B2-B3</f>
        <v>-3647.762999999999</v>
      </c>
      <c r="C4" s="162"/>
      <c r="D4" s="162"/>
      <c r="E4" s="163" t="s">
        <v>175</v>
      </c>
      <c r="F4" s="164">
        <f>(F2-F3)-F12-F13</f>
        <v>-332</v>
      </c>
      <c r="G4" s="165" t="s">
        <v>175</v>
      </c>
      <c r="H4" s="166">
        <f>(H2-H3)-H27</f>
        <v>19575.010000000002</v>
      </c>
      <c r="I4" s="167" t="s">
        <v>176</v>
      </c>
      <c r="J4" s="168">
        <f>J2-J3</f>
        <v>6013.6230000000005</v>
      </c>
      <c r="K4" s="169"/>
      <c r="L4" s="159"/>
      <c r="M4" s="132"/>
      <c r="N4"/>
      <c r="IV4"/>
    </row>
    <row r="5" spans="1:256" ht="15" customHeight="1" outlineLevel="1">
      <c r="A5" s="170" t="s">
        <v>177</v>
      </c>
      <c r="B5" s="171">
        <v>5</v>
      </c>
      <c r="C5" s="150" t="s">
        <v>178</v>
      </c>
      <c r="D5" s="151">
        <v>1753</v>
      </c>
      <c r="E5" s="172"/>
      <c r="F5" s="173"/>
      <c r="G5" s="174" t="s">
        <v>179</v>
      </c>
      <c r="H5" s="175">
        <v>1600.54</v>
      </c>
      <c r="I5" s="176"/>
      <c r="J5" s="157"/>
      <c r="K5" s="177"/>
      <c r="L5" s="178"/>
      <c r="M5" s="132"/>
      <c r="N5"/>
      <c r="IV5"/>
    </row>
    <row r="6" spans="1:256" ht="15" customHeight="1" outlineLevel="1">
      <c r="A6" s="170" t="s">
        <v>180</v>
      </c>
      <c r="B6" s="171">
        <v>5250</v>
      </c>
      <c r="C6" s="150"/>
      <c r="D6" s="151"/>
      <c r="E6" s="172"/>
      <c r="F6" s="173"/>
      <c r="G6" s="174" t="s">
        <v>181</v>
      </c>
      <c r="H6" s="175">
        <v>1680.38</v>
      </c>
      <c r="I6" s="156"/>
      <c r="J6" s="179"/>
      <c r="K6" s="180"/>
      <c r="L6" s="181"/>
      <c r="M6" s="132"/>
      <c r="IV6"/>
    </row>
    <row r="7" spans="1:256" ht="18" customHeight="1" outlineLevel="1">
      <c r="A7" s="170" t="s">
        <v>182</v>
      </c>
      <c r="B7" s="171">
        <f>39.92+638.01+195.51</f>
        <v>873.4399999999999</v>
      </c>
      <c r="C7" s="150"/>
      <c r="D7" s="151"/>
      <c r="E7" s="182"/>
      <c r="F7" s="173"/>
      <c r="G7" s="174" t="s">
        <v>183</v>
      </c>
      <c r="H7" s="175">
        <v>1871.83</v>
      </c>
      <c r="I7" s="156"/>
      <c r="J7" s="179"/>
      <c r="K7" s="183"/>
      <c r="L7" s="181"/>
      <c r="M7" s="132"/>
      <c r="N7" s="184"/>
      <c r="O7"/>
      <c r="IV7"/>
    </row>
    <row r="8" spans="1:256" ht="15" customHeight="1" outlineLevel="1">
      <c r="A8" s="170" t="s">
        <v>184</v>
      </c>
      <c r="B8" s="171">
        <v>1249.5</v>
      </c>
      <c r="C8" s="150"/>
      <c r="D8" s="151"/>
      <c r="E8" s="172"/>
      <c r="F8" s="173"/>
      <c r="G8" s="185" t="s">
        <v>185</v>
      </c>
      <c r="H8" s="186">
        <v>2070.25</v>
      </c>
      <c r="I8" s="156"/>
      <c r="J8" s="179"/>
      <c r="K8" s="183"/>
      <c r="L8" s="187"/>
      <c r="M8" s="132"/>
      <c r="IV8"/>
    </row>
    <row r="9" spans="1:256" ht="14.25" outlineLevel="1">
      <c r="A9" s="170" t="s">
        <v>186</v>
      </c>
      <c r="B9" s="171">
        <v>5</v>
      </c>
      <c r="C9" s="150"/>
      <c r="D9" s="151"/>
      <c r="E9" s="172"/>
      <c r="F9" s="173"/>
      <c r="G9" s="174" t="s">
        <v>187</v>
      </c>
      <c r="H9" s="175">
        <v>290.28</v>
      </c>
      <c r="I9" s="156"/>
      <c r="J9" s="179"/>
      <c r="K9" s="183"/>
      <c r="L9" s="187"/>
      <c r="M9" s="132"/>
      <c r="IV9"/>
    </row>
    <row r="10" spans="1:256" ht="14.25" outlineLevel="1">
      <c r="A10" s="170" t="s">
        <v>188</v>
      </c>
      <c r="B10" s="171">
        <v>445</v>
      </c>
      <c r="C10" s="188"/>
      <c r="D10" s="189"/>
      <c r="E10" s="172"/>
      <c r="F10" s="173"/>
      <c r="G10" s="185" t="s">
        <v>189</v>
      </c>
      <c r="H10" s="175">
        <v>1253.06</v>
      </c>
      <c r="I10" s="156"/>
      <c r="J10" s="179"/>
      <c r="K10" s="183"/>
      <c r="L10" s="181"/>
      <c r="M10" s="132"/>
      <c r="IV10"/>
    </row>
    <row r="11" spans="1:256" ht="17.25" customHeight="1" outlineLevel="1">
      <c r="A11" s="170" t="s">
        <v>190</v>
      </c>
      <c r="B11" s="171">
        <v>875</v>
      </c>
      <c r="C11" s="150"/>
      <c r="D11" s="151"/>
      <c r="E11" s="172"/>
      <c r="F11" s="173"/>
      <c r="G11" s="185" t="s">
        <v>191</v>
      </c>
      <c r="H11" s="186">
        <v>1163.58</v>
      </c>
      <c r="I11" s="156"/>
      <c r="J11" s="179"/>
      <c r="K11" s="183"/>
      <c r="L11" s="181"/>
      <c r="M11" s="132"/>
      <c r="IV11"/>
    </row>
    <row r="12" spans="1:256" ht="14.25" customHeight="1" outlineLevel="1">
      <c r="A12" s="170" t="s">
        <v>192</v>
      </c>
      <c r="B12" s="171"/>
      <c r="C12" s="150"/>
      <c r="D12" s="151"/>
      <c r="E12" s="172"/>
      <c r="F12" s="173"/>
      <c r="G12" s="185" t="s">
        <v>193</v>
      </c>
      <c r="H12" s="186">
        <v>252.15</v>
      </c>
      <c r="I12" s="156"/>
      <c r="J12" s="179"/>
      <c r="K12" s="190"/>
      <c r="L12" s="181"/>
      <c r="M12" s="132"/>
      <c r="IV12"/>
    </row>
    <row r="13" spans="1:256" ht="14.25" customHeight="1" outlineLevel="1">
      <c r="A13" s="170" t="s">
        <v>194</v>
      </c>
      <c r="B13" s="171">
        <v>5</v>
      </c>
      <c r="C13" s="150"/>
      <c r="D13" s="151"/>
      <c r="E13" s="172"/>
      <c r="F13" s="173"/>
      <c r="G13" s="174" t="s">
        <v>195</v>
      </c>
      <c r="H13" s="175">
        <v>1600.54</v>
      </c>
      <c r="I13" s="191"/>
      <c r="J13" s="192"/>
      <c r="K13" s="190"/>
      <c r="L13" s="193"/>
      <c r="M13" s="132"/>
      <c r="IV13"/>
    </row>
    <row r="14" spans="1:256" ht="14.25" customHeight="1" outlineLevel="1">
      <c r="A14" s="170" t="s">
        <v>196</v>
      </c>
      <c r="B14" s="171">
        <v>5</v>
      </c>
      <c r="C14" s="150"/>
      <c r="D14" s="151"/>
      <c r="E14" s="172"/>
      <c r="F14" s="173"/>
      <c r="G14" s="185" t="s">
        <v>197</v>
      </c>
      <c r="H14" s="175">
        <v>1246.14</v>
      </c>
      <c r="I14" s="156"/>
      <c r="J14" s="179"/>
      <c r="K14" s="190"/>
      <c r="L14" s="181"/>
      <c r="M14" s="132"/>
      <c r="IV14"/>
    </row>
    <row r="15" spans="1:256" ht="14.25" outlineLevel="1">
      <c r="A15" s="170" t="s">
        <v>198</v>
      </c>
      <c r="B15" s="194">
        <v>1450</v>
      </c>
      <c r="C15" s="150"/>
      <c r="D15" s="151"/>
      <c r="E15" s="172"/>
      <c r="F15" s="173"/>
      <c r="G15" s="185"/>
      <c r="H15" s="186"/>
      <c r="I15" s="156"/>
      <c r="J15" s="179"/>
      <c r="K15" s="183"/>
      <c r="L15" s="193"/>
      <c r="M15" s="132"/>
      <c r="IV15"/>
    </row>
    <row r="16" spans="1:256" ht="14.25" outlineLevel="1">
      <c r="A16" s="170" t="s">
        <v>199</v>
      </c>
      <c r="B16" s="171">
        <v>3000</v>
      </c>
      <c r="C16" s="150"/>
      <c r="D16" s="151"/>
      <c r="E16" s="172"/>
      <c r="F16" s="173"/>
      <c r="G16" s="174"/>
      <c r="H16" s="175"/>
      <c r="I16" s="156"/>
      <c r="J16" s="179"/>
      <c r="K16" s="190"/>
      <c r="L16" s="195"/>
      <c r="M16" s="132"/>
      <c r="IV16"/>
    </row>
    <row r="17" spans="1:256" ht="14.25" outlineLevel="1">
      <c r="A17" s="170" t="s">
        <v>200</v>
      </c>
      <c r="B17" s="171">
        <v>5</v>
      </c>
      <c r="C17" s="150"/>
      <c r="D17" s="151"/>
      <c r="E17" s="172"/>
      <c r="F17" s="173"/>
      <c r="G17" s="174"/>
      <c r="H17" s="175"/>
      <c r="I17" s="156"/>
      <c r="J17" s="179"/>
      <c r="K17" s="183"/>
      <c r="L17" s="193"/>
      <c r="M17" s="132"/>
      <c r="IV17"/>
    </row>
    <row r="18" spans="1:256" ht="14.25" customHeight="1" outlineLevel="1">
      <c r="A18" s="170" t="s">
        <v>201</v>
      </c>
      <c r="B18" s="171">
        <v>400</v>
      </c>
      <c r="C18" s="150"/>
      <c r="D18" s="151"/>
      <c r="E18" s="172"/>
      <c r="F18" s="173"/>
      <c r="G18" s="185"/>
      <c r="H18" s="186"/>
      <c r="I18" s="156"/>
      <c r="J18" s="179"/>
      <c r="K18" s="183"/>
      <c r="L18" s="195"/>
      <c r="M18" s="132"/>
      <c r="IV18"/>
    </row>
    <row r="19" spans="1:256" ht="14.25" outlineLevel="1">
      <c r="A19" s="170" t="s">
        <v>202</v>
      </c>
      <c r="B19" s="171">
        <v>1215</v>
      </c>
      <c r="C19" s="150"/>
      <c r="D19" s="151"/>
      <c r="E19" s="172"/>
      <c r="F19" s="173"/>
      <c r="G19" s="174"/>
      <c r="H19" s="175"/>
      <c r="I19" s="156"/>
      <c r="J19" s="179"/>
      <c r="K19" s="190"/>
      <c r="L19" s="195"/>
      <c r="M19" s="132"/>
      <c r="IV19"/>
    </row>
    <row r="20" spans="1:256" ht="14.25" customHeight="1" outlineLevel="1">
      <c r="A20" s="170" t="s">
        <v>203</v>
      </c>
      <c r="B20" s="171">
        <v>810</v>
      </c>
      <c r="C20" s="150"/>
      <c r="D20" s="196"/>
      <c r="E20" s="172"/>
      <c r="F20" s="173"/>
      <c r="G20" s="174"/>
      <c r="H20" s="175"/>
      <c r="I20" s="156"/>
      <c r="J20" s="179"/>
      <c r="K20" s="190"/>
      <c r="L20" s="195"/>
      <c r="M20" s="132"/>
      <c r="IV20"/>
    </row>
    <row r="21" spans="1:256" ht="14.25" customHeight="1" outlineLevel="1">
      <c r="A21" s="170" t="s">
        <v>204</v>
      </c>
      <c r="B21" s="194">
        <v>214.96</v>
      </c>
      <c r="C21" s="197"/>
      <c r="D21" s="197"/>
      <c r="E21" s="172"/>
      <c r="F21" s="173"/>
      <c r="G21" s="174"/>
      <c r="H21" s="175"/>
      <c r="I21" s="156"/>
      <c r="J21" s="179"/>
      <c r="K21" s="190"/>
      <c r="L21" s="195"/>
      <c r="M21" s="132"/>
      <c r="IV21"/>
    </row>
    <row r="22" spans="1:256" ht="14.25" customHeight="1" outlineLevel="1">
      <c r="A22" s="170" t="s">
        <v>205</v>
      </c>
      <c r="B22" s="171">
        <v>5</v>
      </c>
      <c r="C22" s="342" t="s">
        <v>206</v>
      </c>
      <c r="D22" s="342"/>
      <c r="E22" s="343" t="s">
        <v>207</v>
      </c>
      <c r="F22" s="343"/>
      <c r="G22" s="174"/>
      <c r="H22" s="175"/>
      <c r="I22" s="156"/>
      <c r="J22" s="179"/>
      <c r="K22" s="190"/>
      <c r="L22" s="195"/>
      <c r="M22" s="132"/>
      <c r="IV22"/>
    </row>
    <row r="23" spans="1:256" ht="14.25" customHeight="1" outlineLevel="1">
      <c r="A23" s="170" t="s">
        <v>208</v>
      </c>
      <c r="B23" s="171">
        <v>900.65</v>
      </c>
      <c r="C23" s="342"/>
      <c r="D23" s="342"/>
      <c r="E23" s="343"/>
      <c r="F23" s="343"/>
      <c r="G23" s="174"/>
      <c r="H23" s="175"/>
      <c r="I23" s="156"/>
      <c r="J23" s="179"/>
      <c r="K23" s="190"/>
      <c r="L23" s="195"/>
      <c r="M23" s="132"/>
      <c r="IV23"/>
    </row>
    <row r="24" spans="1:256" ht="14.25" customHeight="1" outlineLevel="1">
      <c r="A24" s="170"/>
      <c r="B24" s="171"/>
      <c r="C24" s="342"/>
      <c r="D24" s="342"/>
      <c r="E24" s="343"/>
      <c r="F24" s="343"/>
      <c r="G24" s="174"/>
      <c r="H24" s="175"/>
      <c r="I24" s="156"/>
      <c r="J24" s="179"/>
      <c r="K24" s="190"/>
      <c r="L24" s="195"/>
      <c r="M24" s="132"/>
      <c r="IV24"/>
    </row>
    <row r="25" spans="1:256" ht="17.25" customHeight="1" outlineLevel="1">
      <c r="A25" s="170"/>
      <c r="B25" s="171"/>
      <c r="C25" s="344" t="s">
        <v>160</v>
      </c>
      <c r="D25" s="344">
        <f>SUM(D28:D64)</f>
        <v>790</v>
      </c>
      <c r="E25" s="140" t="s">
        <v>209</v>
      </c>
      <c r="F25" s="141">
        <f>'Wpłaty na ubezpieczenie'!I55</f>
        <v>26892</v>
      </c>
      <c r="G25" s="174"/>
      <c r="H25" s="175"/>
      <c r="I25" s="156"/>
      <c r="J25" s="179"/>
      <c r="K25" s="190"/>
      <c r="L25" s="195"/>
      <c r="M25" s="132"/>
      <c r="IV25"/>
    </row>
    <row r="26" spans="1:256" ht="14.25" outlineLevel="1">
      <c r="A26" s="198"/>
      <c r="B26" s="171"/>
      <c r="C26" s="344"/>
      <c r="D26" s="344"/>
      <c r="E26" s="152" t="s">
        <v>174</v>
      </c>
      <c r="F26" s="153">
        <f>SUM(F28:F64)</f>
        <v>24459</v>
      </c>
      <c r="G26" s="174"/>
      <c r="H26" s="175"/>
      <c r="I26" s="156"/>
      <c r="J26" s="179"/>
      <c r="K26" s="190"/>
      <c r="L26" s="195"/>
      <c r="M26" s="132"/>
      <c r="IV26"/>
    </row>
    <row r="27" spans="1:256" ht="14.25" outlineLevel="1">
      <c r="A27" s="198"/>
      <c r="B27" s="171"/>
      <c r="C27" s="344"/>
      <c r="D27" s="344"/>
      <c r="E27" s="163" t="s">
        <v>175</v>
      </c>
      <c r="F27" s="164">
        <f>F25-F26</f>
        <v>2433</v>
      </c>
      <c r="G27" s="174"/>
      <c r="H27" s="175"/>
      <c r="I27" s="156"/>
      <c r="J27" s="179"/>
      <c r="K27" s="190"/>
      <c r="L27" s="195"/>
      <c r="M27" s="132"/>
      <c r="IV27"/>
    </row>
    <row r="28" spans="1:256" ht="14.25" outlineLevel="1">
      <c r="A28" s="198"/>
      <c r="B28" s="171"/>
      <c r="C28" s="188" t="s">
        <v>210</v>
      </c>
      <c r="D28" s="151">
        <v>210</v>
      </c>
      <c r="E28" s="172" t="s">
        <v>211</v>
      </c>
      <c r="F28" s="173">
        <f>10655+10000+3696</f>
        <v>24351</v>
      </c>
      <c r="G28" s="174"/>
      <c r="H28" s="175"/>
      <c r="I28" s="156"/>
      <c r="J28" s="179"/>
      <c r="K28" s="190"/>
      <c r="L28" s="195"/>
      <c r="M28" s="132"/>
      <c r="IV28"/>
    </row>
    <row r="29" spans="1:256" ht="17.25" customHeight="1" outlineLevel="1">
      <c r="A29" s="198"/>
      <c r="B29" s="171"/>
      <c r="C29" s="150" t="s">
        <v>212</v>
      </c>
      <c r="D29" s="151">
        <v>200</v>
      </c>
      <c r="E29" s="172" t="s">
        <v>213</v>
      </c>
      <c r="F29" s="173">
        <v>108</v>
      </c>
      <c r="G29" s="174"/>
      <c r="H29" s="175"/>
      <c r="I29" s="156"/>
      <c r="J29" s="179"/>
      <c r="K29" s="190"/>
      <c r="L29" s="195"/>
      <c r="M29" s="132"/>
      <c r="IV29"/>
    </row>
    <row r="30" spans="1:256" ht="14.25" outlineLevel="1">
      <c r="A30" s="198"/>
      <c r="B30" s="171"/>
      <c r="C30" s="150" t="s">
        <v>214</v>
      </c>
      <c r="D30" s="151">
        <v>220</v>
      </c>
      <c r="E30" s="172"/>
      <c r="F30" s="173"/>
      <c r="G30" s="174"/>
      <c r="H30" s="175"/>
      <c r="I30" s="156"/>
      <c r="J30" s="179"/>
      <c r="K30" s="190"/>
      <c r="L30" s="195"/>
      <c r="M30" s="132"/>
      <c r="IV30"/>
    </row>
    <row r="31" spans="1:256" ht="14.25" outlineLevel="1">
      <c r="A31" s="198"/>
      <c r="B31" s="171"/>
      <c r="C31" s="150" t="s">
        <v>215</v>
      </c>
      <c r="D31" s="151">
        <v>70</v>
      </c>
      <c r="E31" s="172"/>
      <c r="F31" s="173"/>
      <c r="G31" s="174"/>
      <c r="H31" s="175"/>
      <c r="I31" s="156"/>
      <c r="J31" s="179"/>
      <c r="K31" s="190"/>
      <c r="L31" s="195"/>
      <c r="M31" s="132"/>
      <c r="IV31"/>
    </row>
    <row r="32" spans="1:256" ht="14.25" outlineLevel="1">
      <c r="A32" s="198"/>
      <c r="B32" s="171"/>
      <c r="C32" s="150" t="s">
        <v>216</v>
      </c>
      <c r="D32" s="151">
        <v>80</v>
      </c>
      <c r="E32" s="172"/>
      <c r="F32" s="173"/>
      <c r="G32" s="174"/>
      <c r="H32" s="175"/>
      <c r="I32" s="156"/>
      <c r="J32" s="179"/>
      <c r="K32" s="190"/>
      <c r="L32" s="195"/>
      <c r="M32" s="132"/>
      <c r="IV32"/>
    </row>
    <row r="33" spans="1:256" ht="14.25" outlineLevel="1">
      <c r="A33" s="198"/>
      <c r="B33" s="171"/>
      <c r="C33" s="150" t="s">
        <v>217</v>
      </c>
      <c r="D33" s="151">
        <v>10</v>
      </c>
      <c r="E33" s="172"/>
      <c r="F33" s="173"/>
      <c r="G33" s="174"/>
      <c r="H33" s="175"/>
      <c r="I33" s="156"/>
      <c r="J33" s="179"/>
      <c r="K33" s="190"/>
      <c r="L33" s="195"/>
      <c r="M33" s="132"/>
      <c r="IV33"/>
    </row>
    <row r="34" spans="1:256" ht="14.25" outlineLevel="1">
      <c r="A34" s="198"/>
      <c r="B34" s="171"/>
      <c r="C34" s="150"/>
      <c r="D34" s="151"/>
      <c r="E34" s="172"/>
      <c r="F34" s="173"/>
      <c r="G34" s="174"/>
      <c r="H34" s="175"/>
      <c r="I34" s="156"/>
      <c r="J34" s="179"/>
      <c r="K34" s="190"/>
      <c r="L34" s="195"/>
      <c r="M34" s="132"/>
      <c r="IV34"/>
    </row>
    <row r="35" spans="1:256" ht="14.25" outlineLevel="1">
      <c r="A35" s="198"/>
      <c r="B35" s="171"/>
      <c r="C35" s="150"/>
      <c r="D35" s="151"/>
      <c r="E35" s="172"/>
      <c r="F35" s="173"/>
      <c r="G35" s="174"/>
      <c r="H35" s="175"/>
      <c r="I35" s="156"/>
      <c r="J35" s="179"/>
      <c r="K35" s="190"/>
      <c r="L35" s="195"/>
      <c r="M35" s="132"/>
      <c r="IV35"/>
    </row>
    <row r="36" spans="1:256" ht="14.25" outlineLevel="1">
      <c r="A36" s="198"/>
      <c r="B36" s="171"/>
      <c r="C36" s="150"/>
      <c r="D36" s="151"/>
      <c r="E36" s="172"/>
      <c r="F36" s="173"/>
      <c r="G36" s="174"/>
      <c r="H36" s="175"/>
      <c r="I36" s="156"/>
      <c r="J36" s="179"/>
      <c r="K36" s="190"/>
      <c r="L36" s="195"/>
      <c r="M36" s="132"/>
      <c r="IV36"/>
    </row>
    <row r="37" spans="1:256" ht="15" customHeight="1" outlineLevel="1">
      <c r="A37" s="198"/>
      <c r="B37" s="171"/>
      <c r="C37" s="150"/>
      <c r="D37" s="151"/>
      <c r="E37" s="172"/>
      <c r="F37" s="173"/>
      <c r="G37" s="174"/>
      <c r="H37" s="175"/>
      <c r="I37" s="156"/>
      <c r="J37" s="179"/>
      <c r="K37" s="190"/>
      <c r="L37" s="195"/>
      <c r="M37" s="132"/>
      <c r="IV37"/>
    </row>
    <row r="38" spans="1:256" ht="14.25" outlineLevel="1">
      <c r="A38" s="199"/>
      <c r="B38" s="171"/>
      <c r="C38" s="150"/>
      <c r="D38" s="151"/>
      <c r="E38" s="172"/>
      <c r="F38" s="173"/>
      <c r="G38" s="174"/>
      <c r="H38" s="175"/>
      <c r="I38" s="156"/>
      <c r="J38" s="179"/>
      <c r="K38" s="190"/>
      <c r="L38" s="195"/>
      <c r="M38" s="132"/>
      <c r="IV38"/>
    </row>
    <row r="39" spans="1:256" ht="14.25" outlineLevel="1">
      <c r="A39" s="199"/>
      <c r="B39" s="171"/>
      <c r="C39" s="150"/>
      <c r="D39" s="151"/>
      <c r="E39" s="172"/>
      <c r="F39" s="173"/>
      <c r="G39" s="174"/>
      <c r="H39" s="175"/>
      <c r="I39" s="156"/>
      <c r="J39" s="179"/>
      <c r="K39" s="190"/>
      <c r="L39" s="195"/>
      <c r="M39" s="132"/>
      <c r="IV39"/>
    </row>
    <row r="40" spans="1:256" ht="14.25" outlineLevel="1">
      <c r="A40" s="199"/>
      <c r="B40" s="171"/>
      <c r="C40" s="150"/>
      <c r="D40" s="151"/>
      <c r="E40" s="172"/>
      <c r="F40" s="173"/>
      <c r="G40" s="174"/>
      <c r="H40" s="175"/>
      <c r="I40" s="156"/>
      <c r="J40" s="179"/>
      <c r="K40" s="190"/>
      <c r="L40" s="195"/>
      <c r="M40" s="132"/>
      <c r="IV40"/>
    </row>
    <row r="41" spans="1:256" ht="14.25" outlineLevel="1">
      <c r="A41" s="199"/>
      <c r="B41" s="171"/>
      <c r="C41" s="150"/>
      <c r="D41" s="151"/>
      <c r="E41" s="172"/>
      <c r="F41" s="173"/>
      <c r="G41" s="174"/>
      <c r="H41" s="175"/>
      <c r="I41" s="156"/>
      <c r="J41" s="179"/>
      <c r="K41" s="190"/>
      <c r="L41" s="195"/>
      <c r="M41" s="132"/>
      <c r="IV41"/>
    </row>
    <row r="42" spans="1:256" ht="14.25" outlineLevel="1">
      <c r="A42" s="198"/>
      <c r="B42" s="171"/>
      <c r="C42" s="150"/>
      <c r="D42" s="151"/>
      <c r="E42" s="172"/>
      <c r="F42" s="173"/>
      <c r="G42" s="174"/>
      <c r="H42" s="175"/>
      <c r="I42" s="156"/>
      <c r="J42" s="179"/>
      <c r="K42" s="190"/>
      <c r="L42" s="195"/>
      <c r="M42" s="132"/>
      <c r="IV42"/>
    </row>
    <row r="43" spans="1:256" ht="14.25" outlineLevel="1">
      <c r="A43" s="198"/>
      <c r="B43" s="171"/>
      <c r="C43" s="150"/>
      <c r="D43" s="151"/>
      <c r="E43" s="172"/>
      <c r="F43" s="173"/>
      <c r="G43" s="174"/>
      <c r="H43" s="175"/>
      <c r="I43" s="156"/>
      <c r="J43" s="179"/>
      <c r="K43" s="190"/>
      <c r="L43" s="195"/>
      <c r="M43" s="132"/>
      <c r="IV43"/>
    </row>
    <row r="44" spans="1:256" ht="14.25" outlineLevel="1">
      <c r="A44" s="198"/>
      <c r="B44" s="171"/>
      <c r="C44" s="150"/>
      <c r="D44" s="151"/>
      <c r="E44" s="172"/>
      <c r="F44" s="173"/>
      <c r="G44" s="174"/>
      <c r="H44" s="175"/>
      <c r="I44" s="156"/>
      <c r="J44" s="179"/>
      <c r="K44" s="190"/>
      <c r="L44" s="195"/>
      <c r="M44" s="132"/>
      <c r="IV44"/>
    </row>
    <row r="45" spans="1:256" ht="14.25" outlineLevel="1">
      <c r="A45" s="198"/>
      <c r="B45" s="171"/>
      <c r="C45" s="150"/>
      <c r="D45" s="151"/>
      <c r="E45" s="172"/>
      <c r="F45" s="173"/>
      <c r="G45" s="174"/>
      <c r="H45" s="175"/>
      <c r="I45" s="156"/>
      <c r="J45" s="179"/>
      <c r="K45" s="190"/>
      <c r="L45" s="195"/>
      <c r="M45" s="132"/>
      <c r="IV45"/>
    </row>
    <row r="46" spans="1:256" ht="14.25" outlineLevel="1">
      <c r="A46" s="198"/>
      <c r="B46" s="171"/>
      <c r="C46" s="150"/>
      <c r="D46" s="151"/>
      <c r="E46" s="172"/>
      <c r="F46" s="173"/>
      <c r="G46" s="174"/>
      <c r="H46" s="175"/>
      <c r="I46" s="156"/>
      <c r="J46" s="179"/>
      <c r="K46" s="190"/>
      <c r="L46" s="195"/>
      <c r="M46" s="132"/>
      <c r="IV46"/>
    </row>
    <row r="47" spans="1:256" ht="14.25" outlineLevel="1">
      <c r="A47" s="198"/>
      <c r="B47" s="171"/>
      <c r="C47" s="150"/>
      <c r="D47" s="151"/>
      <c r="E47" s="172"/>
      <c r="F47" s="173"/>
      <c r="G47" s="174"/>
      <c r="H47" s="175"/>
      <c r="I47" s="156"/>
      <c r="J47" s="179"/>
      <c r="K47" s="190"/>
      <c r="L47" s="195"/>
      <c r="M47" s="132"/>
      <c r="IV47"/>
    </row>
    <row r="48" spans="1:256" ht="14.25" outlineLevel="1">
      <c r="A48" s="198"/>
      <c r="B48" s="171"/>
      <c r="C48" s="150"/>
      <c r="D48" s="151"/>
      <c r="E48" s="172"/>
      <c r="F48" s="173"/>
      <c r="G48" s="174"/>
      <c r="H48" s="175"/>
      <c r="I48" s="156"/>
      <c r="J48" s="179"/>
      <c r="K48" s="190"/>
      <c r="L48" s="195"/>
      <c r="M48" s="132"/>
      <c r="IV48"/>
    </row>
    <row r="49" spans="1:256" ht="14.25" outlineLevel="1">
      <c r="A49" s="198"/>
      <c r="B49" s="171"/>
      <c r="C49" s="150"/>
      <c r="D49" s="151"/>
      <c r="E49" s="172"/>
      <c r="F49" s="173"/>
      <c r="G49" s="174"/>
      <c r="H49" s="175"/>
      <c r="I49" s="156"/>
      <c r="J49" s="179"/>
      <c r="K49" s="190"/>
      <c r="L49" s="195"/>
      <c r="M49" s="132"/>
      <c r="IV49"/>
    </row>
    <row r="50" spans="1:256" ht="14.25" outlineLevel="1">
      <c r="A50" s="198"/>
      <c r="B50" s="171"/>
      <c r="C50" s="150"/>
      <c r="D50" s="151"/>
      <c r="E50" s="172"/>
      <c r="F50" s="173"/>
      <c r="G50" s="174"/>
      <c r="H50" s="175"/>
      <c r="I50" s="156"/>
      <c r="J50" s="179"/>
      <c r="K50" s="190"/>
      <c r="L50" s="195"/>
      <c r="M50" s="132"/>
      <c r="IV50"/>
    </row>
    <row r="51" spans="1:256" ht="14.25" outlineLevel="1">
      <c r="A51" s="198"/>
      <c r="B51" s="171"/>
      <c r="C51" s="150"/>
      <c r="D51" s="151"/>
      <c r="E51" s="172"/>
      <c r="F51" s="173"/>
      <c r="G51" s="174"/>
      <c r="H51" s="175"/>
      <c r="I51" s="156"/>
      <c r="J51" s="179"/>
      <c r="K51" s="190"/>
      <c r="L51" s="195"/>
      <c r="M51" s="132"/>
      <c r="IV51"/>
    </row>
    <row r="52" spans="1:256" ht="14.25" outlineLevel="1">
      <c r="A52" s="198"/>
      <c r="B52" s="171"/>
      <c r="C52" s="150"/>
      <c r="D52" s="151"/>
      <c r="E52" s="172"/>
      <c r="F52" s="173"/>
      <c r="G52" s="174"/>
      <c r="H52" s="175"/>
      <c r="I52" s="156"/>
      <c r="J52" s="179"/>
      <c r="K52" s="190"/>
      <c r="L52" s="195"/>
      <c r="M52" s="132"/>
      <c r="IV52"/>
    </row>
    <row r="53" spans="1:256" ht="14.25" outlineLevel="1">
      <c r="A53" s="198"/>
      <c r="B53" s="171"/>
      <c r="C53" s="150"/>
      <c r="D53" s="151"/>
      <c r="E53" s="172"/>
      <c r="F53" s="173"/>
      <c r="G53" s="174"/>
      <c r="H53" s="175"/>
      <c r="I53" s="156"/>
      <c r="J53" s="179"/>
      <c r="K53" s="190"/>
      <c r="L53" s="195"/>
      <c r="M53" s="132"/>
      <c r="IV53"/>
    </row>
    <row r="54" spans="1:256" ht="14.25" outlineLevel="1">
      <c r="A54" s="198"/>
      <c r="B54" s="171"/>
      <c r="C54" s="150"/>
      <c r="D54" s="200"/>
      <c r="E54" s="172"/>
      <c r="F54" s="173"/>
      <c r="G54" s="174"/>
      <c r="H54" s="175"/>
      <c r="I54" s="156"/>
      <c r="J54" s="179"/>
      <c r="K54" s="190"/>
      <c r="L54" s="195"/>
      <c r="M54" s="132"/>
      <c r="IV54"/>
    </row>
    <row r="55" spans="1:256" ht="14.25" outlineLevel="1">
      <c r="A55" s="198"/>
      <c r="B55" s="171"/>
      <c r="C55" s="150"/>
      <c r="D55" s="200"/>
      <c r="E55" s="172"/>
      <c r="F55" s="173"/>
      <c r="G55" s="174"/>
      <c r="H55" s="175"/>
      <c r="I55" s="156"/>
      <c r="J55" s="179"/>
      <c r="K55" s="190"/>
      <c r="L55" s="195"/>
      <c r="M55" s="132"/>
      <c r="IV55"/>
    </row>
    <row r="56" spans="1:256" ht="14.25" outlineLevel="1">
      <c r="A56" s="198"/>
      <c r="B56" s="171"/>
      <c r="C56" s="150"/>
      <c r="D56" s="200"/>
      <c r="E56" s="172"/>
      <c r="F56" s="173"/>
      <c r="G56" s="174"/>
      <c r="H56" s="175"/>
      <c r="I56" s="156"/>
      <c r="J56" s="179"/>
      <c r="K56" s="190"/>
      <c r="L56" s="195"/>
      <c r="M56" s="132"/>
      <c r="IV56"/>
    </row>
    <row r="57" spans="1:256" ht="14.25" outlineLevel="1">
      <c r="A57" s="198"/>
      <c r="B57" s="171"/>
      <c r="C57" s="150"/>
      <c r="D57" s="200"/>
      <c r="E57" s="172"/>
      <c r="F57" s="173"/>
      <c r="G57" s="174"/>
      <c r="H57" s="175"/>
      <c r="I57" s="156"/>
      <c r="J57" s="179"/>
      <c r="K57" s="190"/>
      <c r="L57" s="195"/>
      <c r="M57" s="132"/>
      <c r="IV57"/>
    </row>
    <row r="58" spans="1:256" ht="14.25" outlineLevel="1">
      <c r="A58" s="198"/>
      <c r="B58" s="171"/>
      <c r="C58" s="150"/>
      <c r="D58" s="200"/>
      <c r="E58" s="172"/>
      <c r="F58" s="173"/>
      <c r="G58" s="174"/>
      <c r="H58" s="175"/>
      <c r="I58" s="156"/>
      <c r="J58" s="179"/>
      <c r="K58" s="190"/>
      <c r="L58" s="195"/>
      <c r="M58" s="132"/>
      <c r="IV58"/>
    </row>
    <row r="59" spans="1:256" ht="14.25" outlineLevel="1">
      <c r="A59" s="198"/>
      <c r="B59" s="171"/>
      <c r="C59" s="150"/>
      <c r="D59" s="151"/>
      <c r="E59" s="172"/>
      <c r="F59" s="173"/>
      <c r="G59" s="345"/>
      <c r="H59" s="345"/>
      <c r="I59" s="156"/>
      <c r="J59" s="179"/>
      <c r="K59" s="190"/>
      <c r="L59" s="195"/>
      <c r="M59" s="132"/>
      <c r="IV59"/>
    </row>
    <row r="60" spans="1:256" ht="14.25" outlineLevel="1">
      <c r="A60" s="199"/>
      <c r="B60" s="171"/>
      <c r="C60" s="150"/>
      <c r="D60" s="151"/>
      <c r="E60" s="172"/>
      <c r="F60" s="173"/>
      <c r="G60" s="201"/>
      <c r="H60" s="201"/>
      <c r="I60" s="156"/>
      <c r="J60" s="179"/>
      <c r="K60" s="190"/>
      <c r="L60" s="202"/>
      <c r="M60" s="132"/>
      <c r="IV60"/>
    </row>
    <row r="61" spans="1:256" ht="14.25" outlineLevel="1">
      <c r="A61" s="199"/>
      <c r="B61" s="171"/>
      <c r="C61" s="150"/>
      <c r="D61" s="151"/>
      <c r="E61" s="172"/>
      <c r="F61" s="173"/>
      <c r="G61" s="201"/>
      <c r="H61" s="201"/>
      <c r="I61" s="156"/>
      <c r="J61" s="179"/>
      <c r="K61" s="190"/>
      <c r="L61" s="202"/>
      <c r="M61" s="132"/>
      <c r="IV61"/>
    </row>
    <row r="62" spans="1:256" ht="14.25" outlineLevel="1">
      <c r="A62" s="199"/>
      <c r="B62" s="171"/>
      <c r="C62" s="150"/>
      <c r="D62" s="151"/>
      <c r="E62" s="172"/>
      <c r="F62" s="173"/>
      <c r="G62" s="201"/>
      <c r="H62" s="201"/>
      <c r="I62" s="156"/>
      <c r="J62" s="179"/>
      <c r="K62" s="190"/>
      <c r="L62" s="202"/>
      <c r="M62" s="132"/>
      <c r="IV62"/>
    </row>
    <row r="63" spans="1:256" ht="14.25" outlineLevel="1">
      <c r="A63" s="199"/>
      <c r="B63" s="171"/>
      <c r="C63" s="150"/>
      <c r="D63" s="151"/>
      <c r="E63" s="172"/>
      <c r="F63" s="173"/>
      <c r="G63" s="201"/>
      <c r="H63" s="201"/>
      <c r="I63" s="156"/>
      <c r="J63" s="179"/>
      <c r="K63" s="190"/>
      <c r="L63" s="202"/>
      <c r="M63" s="132"/>
      <c r="IV63"/>
    </row>
    <row r="64" spans="1:256" ht="14.25" outlineLevel="1">
      <c r="A64" s="203"/>
      <c r="B64" s="204"/>
      <c r="C64" s="205"/>
      <c r="D64" s="162"/>
      <c r="E64" s="206"/>
      <c r="F64" s="207"/>
      <c r="G64" s="208"/>
      <c r="H64" s="208"/>
      <c r="I64" s="209"/>
      <c r="J64" s="210"/>
      <c r="K64" s="211"/>
      <c r="L64" s="212"/>
      <c r="M64" s="132"/>
      <c r="IV64"/>
    </row>
    <row r="65" spans="6:14" ht="14.25">
      <c r="F65" s="346"/>
      <c r="G65" s="346"/>
      <c r="N65" s="136"/>
    </row>
    <row r="66" spans="1:9" ht="18">
      <c r="A66" s="213" t="s">
        <v>218</v>
      </c>
      <c r="B66" s="214">
        <f>'Wpłaty na Radę Rodziców'!Q50+'Wpłaty na Ksero'!Q55+'Wpłaty na Basen'!AC22+'Wpłaty na ubezpieczenie'!I55+'Wydatki i inne wpływy'!D25+'Wydatki i inne wpływy'!L2</f>
        <v>57608.17</v>
      </c>
      <c r="C66" s="215"/>
      <c r="D66" s="215"/>
      <c r="E66" s="347" t="s">
        <v>219</v>
      </c>
      <c r="F66" s="347"/>
      <c r="G66" s="216"/>
      <c r="H66" s="135" t="s">
        <v>220</v>
      </c>
      <c r="I66" s="135" t="s">
        <v>221</v>
      </c>
    </row>
    <row r="67" spans="1:9" ht="18">
      <c r="A67" s="213" t="s">
        <v>222</v>
      </c>
      <c r="B67" s="214">
        <f>B3+D3+H3+J3+F26</f>
        <v>55954.3</v>
      </c>
      <c r="C67" s="215"/>
      <c r="D67" s="215"/>
      <c r="E67" s="348">
        <f>H67+I67</f>
        <v>86421.78</v>
      </c>
      <c r="F67" s="348"/>
      <c r="G67" s="217"/>
      <c r="H67" s="138">
        <v>86421.78</v>
      </c>
      <c r="I67" s="138">
        <v>0</v>
      </c>
    </row>
    <row r="68" spans="1:7" ht="18">
      <c r="A68" s="213" t="s">
        <v>223</v>
      </c>
      <c r="B68" s="214">
        <f>B66-B67</f>
        <v>1653.8699999999953</v>
      </c>
      <c r="C68" s="215"/>
      <c r="D68" s="215"/>
      <c r="E68" s="135"/>
      <c r="F68" s="218"/>
      <c r="G68" s="216"/>
    </row>
    <row r="69" spans="1:7" ht="18">
      <c r="A69" s="213" t="s">
        <v>224</v>
      </c>
      <c r="B69" s="214">
        <f>B68+E67</f>
        <v>88075.65</v>
      </c>
      <c r="C69" s="219"/>
      <c r="D69" s="220"/>
      <c r="E69"/>
      <c r="F69" s="218"/>
      <c r="G69" s="216"/>
    </row>
    <row r="70" spans="2:7" ht="14.25">
      <c r="B70" s="221"/>
      <c r="C70"/>
      <c r="E70" s="135"/>
      <c r="F70" s="222"/>
      <c r="G70" s="223"/>
    </row>
    <row r="71" spans="1:7" ht="18" hidden="1">
      <c r="A71" s="224" t="s">
        <v>225</v>
      </c>
      <c r="B71" s="214">
        <f>B68-J2</f>
        <v>-4359.753000000005</v>
      </c>
      <c r="C71"/>
      <c r="E71" s="135"/>
      <c r="F71" s="222"/>
      <c r="G71" s="223"/>
    </row>
    <row r="72" spans="1:7" ht="14.25">
      <c r="A72" s="135" t="s">
        <v>226</v>
      </c>
      <c r="B72" s="225">
        <f>B69-E67</f>
        <v>1653.8699999999953</v>
      </c>
      <c r="C72"/>
      <c r="D72" s="226"/>
      <c r="E72" s="184"/>
      <c r="F72" s="227"/>
      <c r="G72" s="216"/>
    </row>
    <row r="73" spans="2:7" ht="14.25">
      <c r="B73" s="225"/>
      <c r="C73"/>
      <c r="D73" s="226"/>
      <c r="E73" s="228"/>
      <c r="F73" s="218"/>
      <c r="G73" s="216"/>
    </row>
    <row r="74" spans="2:7" ht="14.25">
      <c r="B74" s="229"/>
      <c r="C74" s="184"/>
      <c r="D74" s="226"/>
      <c r="E74" s="135"/>
      <c r="F74" s="218"/>
      <c r="G74" s="216"/>
    </row>
    <row r="75" spans="1:3" ht="14.25">
      <c r="A75" s="135"/>
      <c r="B75" s="229"/>
      <c r="C75" s="230"/>
    </row>
    <row r="76" spans="1:3" ht="14.25" hidden="1">
      <c r="A76" s="231">
        <v>88395.97</v>
      </c>
      <c r="B76" s="229"/>
      <c r="C76" s="232"/>
    </row>
    <row r="77" spans="1:3" ht="14.25" hidden="1">
      <c r="A77" s="233">
        <f>200+2800+100+50+8+107</f>
        <v>3265</v>
      </c>
      <c r="C77" s="230"/>
    </row>
    <row r="78" spans="1:3" ht="14.25" hidden="1">
      <c r="A78" s="234">
        <f>B69-A76-A77</f>
        <v>-3585.320000000007</v>
      </c>
      <c r="C78" s="230"/>
    </row>
    <row r="79" ht="14.25">
      <c r="C79" s="230"/>
    </row>
    <row r="80" ht="14.25">
      <c r="C80" s="230"/>
    </row>
    <row r="81" ht="14.25">
      <c r="C81" s="232"/>
    </row>
    <row r="82" ht="14.25">
      <c r="C82" s="232"/>
    </row>
  </sheetData>
  <sheetProtection selectLockedCells="1" selectUnlockedCells="1"/>
  <mergeCells count="14">
    <mergeCell ref="E66:F66"/>
    <mergeCell ref="E67:F67"/>
    <mergeCell ref="C22:D24"/>
    <mergeCell ref="E22:F24"/>
    <mergeCell ref="C25:C27"/>
    <mergeCell ref="D25:D27"/>
    <mergeCell ref="G59:H59"/>
    <mergeCell ref="F65:G65"/>
    <mergeCell ref="A1:B1"/>
    <mergeCell ref="C1:D1"/>
    <mergeCell ref="E1:F1"/>
    <mergeCell ref="G1:H1"/>
    <mergeCell ref="I1:J1"/>
    <mergeCell ref="K1:L1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6.8515625" style="0" customWidth="1"/>
    <col min="2" max="5" width="20.421875" style="0" customWidth="1"/>
  </cols>
  <sheetData>
    <row r="4" spans="2:5" ht="23.25">
      <c r="B4" s="349" t="s">
        <v>227</v>
      </c>
      <c r="C4" s="349"/>
      <c r="D4" s="350" t="s">
        <v>228</v>
      </c>
      <c r="E4" s="350"/>
    </row>
    <row r="5" spans="2:5" s="235" customFormat="1" ht="21">
      <c r="B5" s="236" t="s">
        <v>229</v>
      </c>
      <c r="C5" s="237" t="s">
        <v>230</v>
      </c>
      <c r="D5" s="237" t="s">
        <v>229</v>
      </c>
      <c r="E5" s="238" t="s">
        <v>230</v>
      </c>
    </row>
    <row r="6" spans="1:5" s="235" customFormat="1" ht="33" customHeight="1">
      <c r="A6" s="239" t="s">
        <v>231</v>
      </c>
      <c r="B6" s="240">
        <f>SUM('Wpłaty na Radę Rodziców'!Q4:Q16)</f>
        <v>5796</v>
      </c>
      <c r="C6" s="241">
        <f>(B6/SUM('Wpłaty na Radę Rodziców'!P4:P16))*100</f>
        <v>34.316163410301954</v>
      </c>
      <c r="D6" s="242">
        <f>SUM('Wpłaty na Ksero'!Q9:Q21)</f>
        <v>7095</v>
      </c>
      <c r="E6" s="243">
        <f>(D6/SUM('Wpłaty na Ksero'!P9:P21))*100</f>
        <v>63.122775800711736</v>
      </c>
    </row>
    <row r="7" spans="1:5" s="235" customFormat="1" ht="33" customHeight="1">
      <c r="A7" s="244" t="s">
        <v>232</v>
      </c>
      <c r="B7" s="245">
        <f>SUM('Wpłaty na Radę Rodziców'!Q17:Q49)</f>
        <v>12869.41</v>
      </c>
      <c r="C7" s="246">
        <f>(B7/SUM('Wpłaty na Radę Rodziców'!P17:P49))*100</f>
        <v>28.465848263658483</v>
      </c>
      <c r="D7" s="247">
        <f>SUM('Wpłaty na Ksero'!Q22:Q54)</f>
        <v>25508.760000000002</v>
      </c>
      <c r="E7" s="248">
        <f>(D7/SUM('Wpłaty na Ksero'!P22:P54))*100</f>
        <v>84.57811671087534</v>
      </c>
    </row>
    <row r="8" spans="1:5" s="235" customFormat="1" ht="33" customHeight="1">
      <c r="A8" s="249" t="s">
        <v>233</v>
      </c>
      <c r="B8" s="250" t="e">
        <f>SUM('Wpłaty na Radę Rodziców'!#REF!)</f>
        <v>#REF!</v>
      </c>
      <c r="C8" s="251" t="e">
        <f>(B8/SUM('Wpłaty na Radę Rodziców'!#REF!))*100</f>
        <v>#REF!</v>
      </c>
      <c r="D8" s="252" t="e">
        <f>SUM('Wpłaty na Ksero'!#REF!)</f>
        <v>#REF!</v>
      </c>
      <c r="E8" s="253" t="e">
        <f>(D8/SUM('Wpłaty na Ksero'!#REF!))*100</f>
        <v>#REF!</v>
      </c>
    </row>
    <row r="9" s="235" customFormat="1" ht="21"/>
    <row r="10" spans="2:5" s="235" customFormat="1" ht="21">
      <c r="B10" s="254" t="e">
        <f>SUM(B6:B8)</f>
        <v>#REF!</v>
      </c>
      <c r="C10" s="255"/>
      <c r="D10" s="254" t="e">
        <f>SUM(D6:D8)</f>
        <v>#REF!</v>
      </c>
      <c r="E10" s="255"/>
    </row>
    <row r="11" s="235" customFormat="1" ht="21"/>
    <row r="12" spans="2:3" s="235" customFormat="1" ht="21">
      <c r="B12" s="351" t="s">
        <v>234</v>
      </c>
      <c r="C12" s="351"/>
    </row>
    <row r="13" spans="2:3" s="235" customFormat="1" ht="21">
      <c r="B13" s="256" t="s">
        <v>235</v>
      </c>
      <c r="C13" s="257" t="s">
        <v>236</v>
      </c>
    </row>
    <row r="14" spans="1:4" s="235" customFormat="1" ht="21">
      <c r="A14" s="258" t="s">
        <v>237</v>
      </c>
      <c r="B14" s="259" t="e">
        <f>B10*0.7</f>
        <v>#REF!</v>
      </c>
      <c r="C14" s="260">
        <f>SUM('Wpłaty na Radę Rodziców'!P4:P49)*0.7</f>
        <v>43470</v>
      </c>
      <c r="D14" s="261"/>
    </row>
    <row r="15" spans="1:3" s="235" customFormat="1" ht="21">
      <c r="A15" s="262" t="s">
        <v>9</v>
      </c>
      <c r="B15" s="263">
        <f>B6*0.7</f>
        <v>4057.2</v>
      </c>
      <c r="C15" s="264">
        <f>SUM('Wpłaty na Radę Rodziców'!P4:P16)*0.7</f>
        <v>11823</v>
      </c>
    </row>
    <row r="16" spans="1:3" s="235" customFormat="1" ht="21">
      <c r="A16" s="265" t="s">
        <v>238</v>
      </c>
      <c r="B16" s="263">
        <f>B7*0.7</f>
        <v>9008.587</v>
      </c>
      <c r="C16" s="264">
        <f>SUM('Wpłaty na Radę Rodziców'!P17:P49)*0.7</f>
        <v>31646.999999999996</v>
      </c>
    </row>
    <row r="17" spans="1:3" s="235" customFormat="1" ht="21">
      <c r="A17" s="266" t="s">
        <v>233</v>
      </c>
      <c r="B17" s="267" t="e">
        <f>B8*0.7</f>
        <v>#REF!</v>
      </c>
      <c r="C17" s="268" t="e">
        <f>SUM('Wpłaty na Radę Rodziców'!#REF!)*0.7</f>
        <v>#REF!</v>
      </c>
    </row>
    <row r="18" spans="2:3" s="235" customFormat="1" ht="21">
      <c r="B18" s="269"/>
      <c r="C18" s="269"/>
    </row>
  </sheetData>
  <sheetProtection selectLockedCells="1" selectUnlockedCells="1"/>
  <mergeCells count="3">
    <mergeCell ref="B4:C4"/>
    <mergeCell ref="D4:E4"/>
    <mergeCell ref="B12:C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4.140625" style="0" customWidth="1"/>
    <col min="2" max="25" width="7.421875" style="0" customWidth="1"/>
  </cols>
  <sheetData>
    <row r="1" spans="2:25" ht="14.25">
      <c r="B1" s="352" t="s">
        <v>239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5" ht="14.25">
      <c r="B2" s="352" t="s">
        <v>7</v>
      </c>
      <c r="C2" s="352"/>
      <c r="D2" s="352" t="s">
        <v>240</v>
      </c>
      <c r="E2" s="352"/>
      <c r="F2" s="352" t="s">
        <v>241</v>
      </c>
      <c r="G2" s="352"/>
      <c r="H2" s="352" t="s">
        <v>242</v>
      </c>
      <c r="I2" s="352"/>
      <c r="J2" s="352" t="s">
        <v>243</v>
      </c>
      <c r="K2" s="352"/>
      <c r="L2" s="352" t="s">
        <v>244</v>
      </c>
      <c r="M2" s="352"/>
      <c r="N2" s="352" t="s">
        <v>245</v>
      </c>
      <c r="O2" s="352"/>
      <c r="P2" s="352" t="s">
        <v>246</v>
      </c>
      <c r="Q2" s="352"/>
      <c r="R2" s="352" t="s">
        <v>247</v>
      </c>
      <c r="S2" s="352"/>
      <c r="T2" s="352" t="s">
        <v>248</v>
      </c>
      <c r="U2" s="352"/>
      <c r="V2" s="352" t="s">
        <v>249</v>
      </c>
      <c r="W2" s="352"/>
      <c r="X2" s="352" t="s">
        <v>250</v>
      </c>
      <c r="Y2" s="352"/>
    </row>
    <row r="3" spans="2:25" ht="14.25">
      <c r="B3" s="270" t="s">
        <v>251</v>
      </c>
      <c r="C3" s="270" t="s">
        <v>252</v>
      </c>
      <c r="D3" s="270" t="s">
        <v>251</v>
      </c>
      <c r="E3" s="270" t="s">
        <v>252</v>
      </c>
      <c r="F3" s="270" t="s">
        <v>251</v>
      </c>
      <c r="G3" s="270" t="s">
        <v>252</v>
      </c>
      <c r="H3" s="270" t="s">
        <v>251</v>
      </c>
      <c r="I3" s="270" t="s">
        <v>252</v>
      </c>
      <c r="J3" s="270" t="s">
        <v>251</v>
      </c>
      <c r="K3" s="270" t="s">
        <v>252</v>
      </c>
      <c r="L3" s="270" t="s">
        <v>251</v>
      </c>
      <c r="M3" s="270" t="s">
        <v>252</v>
      </c>
      <c r="N3" s="270" t="s">
        <v>251</v>
      </c>
      <c r="O3" s="270" t="s">
        <v>252</v>
      </c>
      <c r="P3" s="270" t="s">
        <v>251</v>
      </c>
      <c r="Q3" s="270" t="s">
        <v>252</v>
      </c>
      <c r="R3" s="270" t="s">
        <v>251</v>
      </c>
      <c r="S3" s="270" t="s">
        <v>252</v>
      </c>
      <c r="T3" s="270" t="s">
        <v>251</v>
      </c>
      <c r="U3" s="270" t="s">
        <v>252</v>
      </c>
      <c r="V3" s="270" t="s">
        <v>251</v>
      </c>
      <c r="W3" s="270" t="s">
        <v>252</v>
      </c>
      <c r="X3" s="270" t="s">
        <v>251</v>
      </c>
      <c r="Y3" s="270" t="s">
        <v>252</v>
      </c>
    </row>
    <row r="4" spans="1:25" ht="14.25">
      <c r="A4" s="271" t="s">
        <v>221</v>
      </c>
      <c r="B4" s="272">
        <f>(5740+1120+1673+4860+2430)+7+7</f>
        <v>15837</v>
      </c>
      <c r="C4" s="272">
        <f>-(15+54.43+12.8+146.36)</f>
        <v>-228.59000000000003</v>
      </c>
      <c r="D4" s="272">
        <f>(4455+6640+1080+8220)+135+104+14+29+989.54</f>
        <v>21666.54</v>
      </c>
      <c r="E4" s="272">
        <f>-(15+750+60+30+15+210+60+1000+150+400+500+259.95+164.94+27.42)</f>
        <v>-3642.31</v>
      </c>
      <c r="F4" s="272">
        <f>(2420+1135+3840)+20+400</f>
        <v>7815</v>
      </c>
      <c r="G4" s="272">
        <f>-(105+300+60+57.3)</f>
        <v>-522.3</v>
      </c>
      <c r="H4" s="272">
        <f>(1225+1980)+1603</f>
        <v>4808</v>
      </c>
      <c r="I4" s="272">
        <f>-(204.84+490)</f>
        <v>-694.84</v>
      </c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ht="28.5">
      <c r="A5" s="273" t="s">
        <v>253</v>
      </c>
      <c r="B5" s="274">
        <v>5549.36</v>
      </c>
      <c r="C5" s="272">
        <v>-2524.82</v>
      </c>
      <c r="D5" s="274">
        <f>26232-15823</f>
        <v>10409</v>
      </c>
      <c r="E5" s="274">
        <v>-11683.7</v>
      </c>
      <c r="F5" s="274">
        <f>24990-20395</f>
        <v>4595</v>
      </c>
      <c r="G5" s="274">
        <v>-12878.6</v>
      </c>
      <c r="H5" s="274">
        <v>4024</v>
      </c>
      <c r="I5" s="274">
        <v>-12167.5</v>
      </c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1:25" ht="14.25">
      <c r="A6" s="271" t="s">
        <v>254</v>
      </c>
      <c r="B6" s="275">
        <f aca="true" t="shared" si="0" ref="B6:Y6">SUM(B4:B5)</f>
        <v>21386.36</v>
      </c>
      <c r="C6" s="275">
        <f t="shared" si="0"/>
        <v>-2753.4100000000003</v>
      </c>
      <c r="D6" s="275">
        <f t="shared" si="0"/>
        <v>32075.54</v>
      </c>
      <c r="E6" s="275">
        <f t="shared" si="0"/>
        <v>-15326.01</v>
      </c>
      <c r="F6" s="275">
        <f t="shared" si="0"/>
        <v>12410</v>
      </c>
      <c r="G6" s="275">
        <f t="shared" si="0"/>
        <v>-13400.9</v>
      </c>
      <c r="H6" s="275">
        <f t="shared" si="0"/>
        <v>8832</v>
      </c>
      <c r="I6" s="275">
        <f t="shared" si="0"/>
        <v>-12862.34</v>
      </c>
      <c r="J6" s="275">
        <f t="shared" si="0"/>
        <v>0</v>
      </c>
      <c r="K6" s="275">
        <f t="shared" si="0"/>
        <v>0</v>
      </c>
      <c r="L6" s="275">
        <f t="shared" si="0"/>
        <v>0</v>
      </c>
      <c r="M6" s="275">
        <f t="shared" si="0"/>
        <v>0</v>
      </c>
      <c r="N6" s="275">
        <f t="shared" si="0"/>
        <v>0</v>
      </c>
      <c r="O6" s="275">
        <f t="shared" si="0"/>
        <v>0</v>
      </c>
      <c r="P6" s="275">
        <f t="shared" si="0"/>
        <v>0</v>
      </c>
      <c r="Q6" s="275">
        <f t="shared" si="0"/>
        <v>0</v>
      </c>
      <c r="R6" s="275">
        <f t="shared" si="0"/>
        <v>0</v>
      </c>
      <c r="S6" s="275">
        <f t="shared" si="0"/>
        <v>0</v>
      </c>
      <c r="T6" s="275">
        <f t="shared" si="0"/>
        <v>0</v>
      </c>
      <c r="U6" s="275">
        <f t="shared" si="0"/>
        <v>0</v>
      </c>
      <c r="V6" s="275">
        <f t="shared" si="0"/>
        <v>0</v>
      </c>
      <c r="W6" s="275">
        <f t="shared" si="0"/>
        <v>0</v>
      </c>
      <c r="X6" s="275">
        <f t="shared" si="0"/>
        <v>0</v>
      </c>
      <c r="Y6" s="275">
        <f t="shared" si="0"/>
        <v>0</v>
      </c>
    </row>
  </sheetData>
  <sheetProtection selectLockedCells="1" selectUnlockedCells="1"/>
  <mergeCells count="13">
    <mergeCell ref="T2:U2"/>
    <mergeCell ref="V2:W2"/>
    <mergeCell ref="X2:Y2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Bojankowska-Zając</dc:creator>
  <cp:keywords/>
  <dc:description/>
  <cp:lastModifiedBy>Grażyna Bojankowska-Zając</cp:lastModifiedBy>
  <dcterms:created xsi:type="dcterms:W3CDTF">2021-02-15T22:14:18Z</dcterms:created>
  <dcterms:modified xsi:type="dcterms:W3CDTF">2021-02-15T22:14:18Z</dcterms:modified>
  <cp:category/>
  <cp:version/>
  <cp:contentType/>
  <cp:contentStatus/>
</cp:coreProperties>
</file>